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xr:revisionPtr revIDLastSave="0" documentId="8_{053BA0F1-D2FF-4D62-9488-4B04E4A9A81A}" xr6:coauthVersionLast="47" xr6:coauthVersionMax="47" xr10:uidLastSave="{00000000-0000-0000-0000-000000000000}"/>
  <bookViews>
    <workbookView xWindow="28680" yWindow="-120" windowWidth="29040" windowHeight="15720" firstSheet="2" activeTab="2" xr2:uid="{308C409E-3A5F-4D0A-8050-2474F38BD11B}"/>
  </bookViews>
  <sheets>
    <sheet name="Q7 Running costs" sheetId="3" state="hidden" r:id="rId1"/>
    <sheet name="Q7&amp;8 occupied unit cost v1 DNU" sheetId="4" state="hidden" r:id="rId2"/>
    <sheet name="Q7 and Q8" sheetId="3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60" i="4" l="1"/>
  <c r="P60" i="4"/>
  <c r="Q60" i="4" s="1"/>
  <c r="H60" i="4"/>
  <c r="G60" i="4"/>
  <c r="F60" i="4"/>
  <c r="E60" i="4"/>
  <c r="I60" i="4" s="1"/>
  <c r="D60" i="4"/>
  <c r="N60" i="4" s="1"/>
  <c r="S59" i="4"/>
  <c r="P59" i="4"/>
  <c r="Q59" i="4" s="1"/>
  <c r="H59" i="4"/>
  <c r="N59" i="4" s="1"/>
  <c r="G59" i="4"/>
  <c r="F59" i="4"/>
  <c r="E59" i="4"/>
  <c r="I59" i="4" s="1"/>
  <c r="D59" i="4"/>
  <c r="K59" i="4" s="1"/>
  <c r="S58" i="4"/>
  <c r="P58" i="4"/>
  <c r="Q58" i="4" s="1"/>
  <c r="N58" i="4"/>
  <c r="K58" i="4"/>
  <c r="H58" i="4"/>
  <c r="G58" i="4"/>
  <c r="F58" i="4"/>
  <c r="E58" i="4"/>
  <c r="I58" i="4" s="1"/>
  <c r="J58" i="4" s="1"/>
  <c r="L58" i="4" s="1"/>
  <c r="D58" i="4"/>
  <c r="S54" i="4"/>
  <c r="P54" i="4"/>
  <c r="H54" i="4"/>
  <c r="G54" i="4"/>
  <c r="Q54" i="4" s="1"/>
  <c r="F54" i="4"/>
  <c r="E54" i="4"/>
  <c r="I54" i="4" s="1"/>
  <c r="J54" i="4" s="1"/>
  <c r="L54" i="4" s="1"/>
  <c r="D54" i="4"/>
  <c r="N54" i="4" s="1"/>
  <c r="S53" i="4"/>
  <c r="P53" i="4"/>
  <c r="N53" i="4"/>
  <c r="H53" i="4"/>
  <c r="G53" i="4"/>
  <c r="Q53" i="4" s="1"/>
  <c r="F53" i="4"/>
  <c r="E53" i="4"/>
  <c r="I53" i="4" s="1"/>
  <c r="D53" i="4"/>
  <c r="K53" i="4" s="1"/>
  <c r="S52" i="4"/>
  <c r="P52" i="4"/>
  <c r="Q52" i="4" s="1"/>
  <c r="J52" i="4"/>
  <c r="L52" i="4" s="1"/>
  <c r="I52" i="4"/>
  <c r="H52" i="4"/>
  <c r="G52" i="4"/>
  <c r="F52" i="4"/>
  <c r="E52" i="4"/>
  <c r="D52" i="4"/>
  <c r="N52" i="4" s="1"/>
  <c r="S48" i="4"/>
  <c r="P48" i="4"/>
  <c r="I48" i="4"/>
  <c r="H48" i="4"/>
  <c r="G48" i="4"/>
  <c r="N48" i="4" s="1"/>
  <c r="F48" i="4"/>
  <c r="E48" i="4"/>
  <c r="D48" i="4"/>
  <c r="K48" i="4" s="1"/>
  <c r="S47" i="4"/>
  <c r="P47" i="4"/>
  <c r="Q47" i="4" s="1"/>
  <c r="H47" i="4"/>
  <c r="G47" i="4"/>
  <c r="F47" i="4"/>
  <c r="E47" i="4"/>
  <c r="I47" i="4" s="1"/>
  <c r="D47" i="4"/>
  <c r="K47" i="4" s="1"/>
  <c r="S46" i="4"/>
  <c r="P46" i="4"/>
  <c r="K46" i="4"/>
  <c r="I46" i="4"/>
  <c r="J46" i="4" s="1"/>
  <c r="L46" i="4" s="1"/>
  <c r="H46" i="4"/>
  <c r="G46" i="4"/>
  <c r="Q46" i="4" s="1"/>
  <c r="F46" i="4"/>
  <c r="E46" i="4"/>
  <c r="D46" i="4"/>
  <c r="S42" i="4"/>
  <c r="P42" i="4"/>
  <c r="Q42" i="4" s="1"/>
  <c r="H42" i="4"/>
  <c r="N42" i="4" s="1"/>
  <c r="G42" i="4"/>
  <c r="F42" i="4"/>
  <c r="E42" i="4"/>
  <c r="I42" i="4" s="1"/>
  <c r="D42" i="4"/>
  <c r="K42" i="4" s="1"/>
  <c r="S41" i="4"/>
  <c r="P41" i="4"/>
  <c r="N41" i="4"/>
  <c r="K41" i="4"/>
  <c r="H41" i="4"/>
  <c r="G41" i="4"/>
  <c r="F41" i="4"/>
  <c r="E41" i="4"/>
  <c r="I41" i="4" s="1"/>
  <c r="J41" i="4" s="1"/>
  <c r="L41" i="4" s="1"/>
  <c r="D41" i="4"/>
  <c r="Q41" i="4" s="1"/>
  <c r="S40" i="4"/>
  <c r="P40" i="4"/>
  <c r="J40" i="4"/>
  <c r="L40" i="4" s="1"/>
  <c r="I40" i="4"/>
  <c r="H40" i="4"/>
  <c r="G40" i="4"/>
  <c r="Q40" i="4" s="1"/>
  <c r="F40" i="4"/>
  <c r="E40" i="4"/>
  <c r="D40" i="4"/>
  <c r="N40" i="4" s="1"/>
  <c r="S36" i="4"/>
  <c r="P36" i="4"/>
  <c r="N36" i="4"/>
  <c r="H36" i="4"/>
  <c r="G36" i="4"/>
  <c r="Q36" i="4" s="1"/>
  <c r="F36" i="4"/>
  <c r="E36" i="4"/>
  <c r="I36" i="4" s="1"/>
  <c r="D36" i="4"/>
  <c r="K36" i="4" s="1"/>
  <c r="S35" i="4"/>
  <c r="P35" i="4"/>
  <c r="Q35" i="4" s="1"/>
  <c r="H35" i="4"/>
  <c r="G35" i="4"/>
  <c r="F35" i="4"/>
  <c r="E35" i="4"/>
  <c r="I35" i="4" s="1"/>
  <c r="J35" i="4" s="1"/>
  <c r="L35" i="4" s="1"/>
  <c r="D35" i="4"/>
  <c r="N35" i="4" s="1"/>
  <c r="S34" i="4"/>
  <c r="P34" i="4"/>
  <c r="K34" i="4"/>
  <c r="I34" i="4"/>
  <c r="J34" i="4" s="1"/>
  <c r="L34" i="4" s="1"/>
  <c r="H34" i="4"/>
  <c r="G34" i="4"/>
  <c r="N34" i="4" s="1"/>
  <c r="F34" i="4"/>
  <c r="E34" i="4"/>
  <c r="D34" i="4"/>
  <c r="S30" i="4"/>
  <c r="P30" i="4"/>
  <c r="Q30" i="4" s="1"/>
  <c r="H30" i="4"/>
  <c r="G30" i="4"/>
  <c r="F30" i="4"/>
  <c r="E30" i="4"/>
  <c r="I30" i="4" s="1"/>
  <c r="D30" i="4"/>
  <c r="K30" i="4" s="1"/>
  <c r="S29" i="4"/>
  <c r="P29" i="4"/>
  <c r="N29" i="4"/>
  <c r="K29" i="4"/>
  <c r="I29" i="4"/>
  <c r="H29" i="4"/>
  <c r="G29" i="4"/>
  <c r="F29" i="4"/>
  <c r="E29" i="4"/>
  <c r="D29" i="4"/>
  <c r="Q29" i="4" s="1"/>
  <c r="S28" i="4"/>
  <c r="P28" i="4"/>
  <c r="Q28" i="4" s="1"/>
  <c r="J28" i="4"/>
  <c r="L28" i="4" s="1"/>
  <c r="I28" i="4"/>
  <c r="H28" i="4"/>
  <c r="N28" i="4" s="1"/>
  <c r="G28" i="4"/>
  <c r="F28" i="4"/>
  <c r="E28" i="4"/>
  <c r="D28" i="4"/>
  <c r="K28" i="4" s="1"/>
  <c r="S24" i="4"/>
  <c r="P24" i="4"/>
  <c r="N24" i="4"/>
  <c r="K24" i="4"/>
  <c r="H24" i="4"/>
  <c r="G24" i="4"/>
  <c r="Q24" i="4" s="1"/>
  <c r="F24" i="4"/>
  <c r="E24" i="4"/>
  <c r="I24" i="4" s="1"/>
  <c r="J24" i="4" s="1"/>
  <c r="L24" i="4" s="1"/>
  <c r="D24" i="4"/>
  <c r="S23" i="4"/>
  <c r="P23" i="4"/>
  <c r="J23" i="4"/>
  <c r="L23" i="4" s="1"/>
  <c r="I23" i="4"/>
  <c r="H23" i="4"/>
  <c r="G23" i="4"/>
  <c r="F23" i="4"/>
  <c r="E23" i="4"/>
  <c r="D23" i="4"/>
  <c r="Q23" i="4" s="1"/>
  <c r="S22" i="4"/>
  <c r="P22" i="4"/>
  <c r="N22" i="4"/>
  <c r="H22" i="4"/>
  <c r="G22" i="4"/>
  <c r="Q22" i="4" s="1"/>
  <c r="F22" i="4"/>
  <c r="E22" i="4"/>
  <c r="I22" i="4" s="1"/>
  <c r="D22" i="4"/>
  <c r="K22" i="4" s="1"/>
  <c r="S18" i="4"/>
  <c r="P18" i="4"/>
  <c r="Q18" i="4" s="1"/>
  <c r="H18" i="4"/>
  <c r="G18" i="4"/>
  <c r="F18" i="4"/>
  <c r="E18" i="4"/>
  <c r="I18" i="4" s="1"/>
  <c r="J18" i="4" s="1"/>
  <c r="L18" i="4" s="1"/>
  <c r="D18" i="4"/>
  <c r="N18" i="4" s="1"/>
  <c r="S17" i="4"/>
  <c r="P17" i="4"/>
  <c r="K17" i="4"/>
  <c r="I17" i="4"/>
  <c r="J17" i="4" s="1"/>
  <c r="L17" i="4" s="1"/>
  <c r="H17" i="4"/>
  <c r="G17" i="4"/>
  <c r="Q17" i="4" s="1"/>
  <c r="F17" i="4"/>
  <c r="E17" i="4"/>
  <c r="D17" i="4"/>
  <c r="N17" i="4" s="1"/>
  <c r="S16" i="4"/>
  <c r="P16" i="4"/>
  <c r="Q16" i="4" s="1"/>
  <c r="H16" i="4"/>
  <c r="G16" i="4"/>
  <c r="F16" i="4"/>
  <c r="E16" i="4"/>
  <c r="I16" i="4" s="1"/>
  <c r="D16" i="4"/>
  <c r="K16" i="4" s="1"/>
  <c r="A12" i="4"/>
  <c r="A11" i="4"/>
  <c r="A10" i="4"/>
  <c r="A9" i="4"/>
  <c r="A8" i="4"/>
  <c r="A7" i="4"/>
  <c r="A6" i="4"/>
  <c r="A5" i="4"/>
  <c r="N7" i="3"/>
  <c r="K7" i="3"/>
  <c r="I7" i="3"/>
  <c r="J7" i="3" s="1"/>
  <c r="L7" i="3" s="1"/>
  <c r="H7" i="3"/>
  <c r="F7" i="3"/>
  <c r="E7" i="3"/>
  <c r="D7" i="3"/>
  <c r="O7" i="3" s="1"/>
  <c r="N6" i="3"/>
  <c r="O6" i="3" s="1"/>
  <c r="K6" i="3"/>
  <c r="I6" i="3"/>
  <c r="G6" i="3"/>
  <c r="F6" i="3"/>
  <c r="E6" i="3"/>
  <c r="D6" i="3"/>
  <c r="J6" i="3" s="1"/>
  <c r="L6" i="3" s="1"/>
  <c r="N5" i="3"/>
  <c r="O5" i="3" s="1"/>
  <c r="K5" i="3"/>
  <c r="H5" i="3"/>
  <c r="G5" i="3"/>
  <c r="F5" i="3"/>
  <c r="E5" i="3"/>
  <c r="I5" i="3" s="1"/>
  <c r="J5" i="3" s="1"/>
  <c r="L5" i="3" s="1"/>
  <c r="D5" i="3"/>
  <c r="Q34" i="4" l="1"/>
  <c r="Q48" i="4"/>
  <c r="N16" i="4"/>
  <c r="K18" i="4"/>
  <c r="J29" i="4"/>
  <c r="L29" i="4" s="1"/>
  <c r="N30" i="4"/>
  <c r="K35" i="4"/>
  <c r="N47" i="4"/>
  <c r="K52" i="4"/>
  <c r="J60" i="4"/>
  <c r="L60" i="4" s="1"/>
  <c r="K60" i="4"/>
  <c r="K23" i="4"/>
  <c r="K40" i="4"/>
  <c r="J48" i="4"/>
  <c r="L48" i="4" s="1"/>
  <c r="K54" i="4"/>
  <c r="J42" i="4"/>
  <c r="L42" i="4" s="1"/>
  <c r="N46" i="4"/>
  <c r="J59" i="4"/>
  <c r="L59" i="4" s="1"/>
  <c r="J22" i="4"/>
  <c r="L22" i="4" s="1"/>
  <c r="N23" i="4"/>
  <c r="J36" i="4"/>
  <c r="L36" i="4" s="1"/>
  <c r="J53" i="4"/>
  <c r="L53" i="4" s="1"/>
  <c r="J16" i="4"/>
  <c r="L16" i="4" s="1"/>
  <c r="J30" i="4"/>
  <c r="L30" i="4" s="1"/>
  <c r="J47" i="4"/>
  <c r="L47" i="4" s="1"/>
</calcChain>
</file>

<file path=xl/sharedStrings.xml><?xml version="1.0" encoding="utf-8"?>
<sst xmlns="http://schemas.openxmlformats.org/spreadsheetml/2006/main" count="301" uniqueCount="60">
  <si>
    <t>For each financial year from 2020/21 to the latest closed year: the total gross running cost of Grisedale Croft; the total income (broken down by Council-funded residents, self-funders, NHS-funded residents, other); and the net cost per occupied bed-day, calculated on the same basis as the Council uses for its other in-house homes. </t>
  </si>
  <si>
    <t>The per-occupied-bed-day net cost figures for each of the Council's other in-house residential homes for the same years, for comparison. </t>
  </si>
  <si>
    <t>Notes</t>
  </si>
  <si>
    <t>Occupancy</t>
  </si>
  <si>
    <t>Gross running cost</t>
  </si>
  <si>
    <t>Income - partial-funders</t>
  </si>
  <si>
    <t>Income - self-funders</t>
  </si>
  <si>
    <t>Income - NHS</t>
  </si>
  <si>
    <t>Income - Other</t>
  </si>
  <si>
    <t>Total income</t>
  </si>
  <si>
    <t>Net cost</t>
  </si>
  <si>
    <t>Gross cost per occupancy</t>
  </si>
  <si>
    <t>Net cost per occupancy</t>
  </si>
  <si>
    <t>Check</t>
  </si>
  <si>
    <t>2023/24 Outturn</t>
  </si>
  <si>
    <t>2024/25 Outturn</t>
  </si>
  <si>
    <t xml:space="preserve">2025/26 Q3 forecast </t>
  </si>
  <si>
    <t xml:space="preserve">We budget for personal contributions in Operations, not by care home. </t>
  </si>
  <si>
    <t xml:space="preserve">3251103 - APPLETHWAITE GREEN            </t>
  </si>
  <si>
    <t>Applethwaite Green</t>
  </si>
  <si>
    <t xml:space="preserve">3251403 - BRIDGE HOUSE                  </t>
  </si>
  <si>
    <t>Bridge House</t>
  </si>
  <si>
    <t xml:space="preserve">3251803 - CROFTSIDE                     </t>
  </si>
  <si>
    <t>Croftside</t>
  </si>
  <si>
    <t xml:space="preserve">3253903 - RIVERSIDE                     </t>
  </si>
  <si>
    <t>Riverside</t>
  </si>
  <si>
    <t>We budget for personal contributions in Operations, income is not recognised against Care Homes</t>
  </si>
  <si>
    <t xml:space="preserve">3252603 - GRISEDALE CROFT               </t>
  </si>
  <si>
    <t>Grisedale Croft</t>
  </si>
  <si>
    <t>The delivery model wouldn't change if individuals are assessed to contribute more or less. The underlying cost would remain the same.</t>
  </si>
  <si>
    <t xml:space="preserve">3251603 - CHRISTIAN HEAD                </t>
  </si>
  <si>
    <t>Christian Head</t>
  </si>
  <si>
    <t>Take occupancy from Controcc?</t>
  </si>
  <si>
    <t xml:space="preserve">3252203 - ELMHURST                      </t>
  </si>
  <si>
    <t>Elmhurst</t>
  </si>
  <si>
    <t>Risk of identification of self funders</t>
  </si>
  <si>
    <t xml:space="preserve">3254403 - PARKVIEW GARDENS              </t>
  </si>
  <si>
    <t>Parkview Gardens</t>
  </si>
  <si>
    <t>Only picks up income from clients on controcc</t>
  </si>
  <si>
    <t>*Excludes personal contributions income (this is what has been included in recent papers)</t>
  </si>
  <si>
    <t>3252603</t>
  </si>
  <si>
    <t>Occupancy at 31st March 23/24 &amp; 24/25 and 31st Dec 25/26</t>
  </si>
  <si>
    <t>Controcc occupancy</t>
  </si>
  <si>
    <t>*Doesn't match Q3 2025/26 figures in report</t>
  </si>
  <si>
    <t>23-24</t>
  </si>
  <si>
    <t>24-25</t>
  </si>
  <si>
    <t>25-26</t>
  </si>
  <si>
    <t>Total income (excl. PC income)</t>
  </si>
  <si>
    <t>Net cost (excl. PC income)</t>
  </si>
  <si>
    <t>Net cost per occupied bed-day (excl. PC income)</t>
  </si>
  <si>
    <t>Total Personal Contributions income</t>
  </si>
  <si>
    <t>APPLETHWAITE GREEN</t>
  </si>
  <si>
    <t>BRIDGE HOUSE</t>
  </si>
  <si>
    <t>CHRISTIAN HEAD</t>
  </si>
  <si>
    <t>CROFTSIDE</t>
  </si>
  <si>
    <t>ELMHURST</t>
  </si>
  <si>
    <t>GRISEDALE CROFT</t>
  </si>
  <si>
    <t>RIVERSIDE</t>
  </si>
  <si>
    <t>PARKVIEW GARDENS</t>
  </si>
  <si>
    <t>Net cost per occupied bed-day (excl. PC income) incl estimated overheads 16.7%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</si>
</sst>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3" fillId="0" borderId="0" xfId="0" applyFont="1" applyAlignment="1">
      <alignment horizontal="left" wrapText="1"/>
    </xf>
    <xf numFmtId="165" fontId="0" fillId="0" borderId="0" xfId="0" applyNumberFormat="1"/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165" fontId="13" fillId="0" borderId="0" xfId="0" applyNumberFormat="1" applyFont="1"/>
    <xf numFmtId="43" fontId="11" fillId="3" borderId="1" xfId="1" applyFont="1" applyFill="1" applyBorder="1"/>
    <xf numFmtId="165" fontId="11" fillId="3" borderId="1" xfId="1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165" fontId="6" fillId="3" borderId="1" xfId="1" applyNumberFormat="1" applyFont="1" applyFill="1" applyBorder="1" applyAlignment="1">
      <alignment horizontal="center"/>
    </xf>
    <xf numFmtId="165" fontId="0" fillId="0" borderId="1" xfId="1" applyNumberFormat="1" applyFont="1" applyFill="1" applyBorder="1"/>
    <xf numFmtId="165" fontId="2" fillId="3" borderId="1" xfId="1" applyNumberFormat="1" applyFont="1" applyFill="1" applyBorder="1"/>
    <xf numFmtId="165" fontId="2" fillId="3" borderId="1" xfId="0" applyNumberFormat="1" applyFont="1" applyFill="1" applyBorder="1"/>
    <xf numFmtId="43" fontId="2" fillId="3" borderId="1" xfId="1" applyFont="1" applyFill="1" applyBorder="1"/>
    <xf numFmtId="0" fontId="0" fillId="0" borderId="1" xfId="0" applyBorder="1"/>
    <xf numFmtId="165" fontId="0" fillId="2" borderId="1" xfId="1" applyNumberFormat="1" applyFont="1" applyFill="1" applyBorder="1"/>
    <xf numFmtId="0" fontId="2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43" fontId="0" fillId="2" borderId="1" xfId="0" applyNumberFormat="1" applyFill="1" applyBorder="1"/>
    <xf numFmtId="165" fontId="9" fillId="3" borderId="1" xfId="1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center"/>
    </xf>
    <xf numFmtId="165" fontId="13" fillId="0" borderId="1" xfId="1" applyNumberFormat="1" applyFont="1" applyFill="1" applyBorder="1"/>
    <xf numFmtId="165" fontId="11" fillId="3" borderId="1" xfId="0" applyNumberFormat="1" applyFont="1" applyFill="1" applyBorder="1"/>
    <xf numFmtId="165" fontId="13" fillId="0" borderId="1" xfId="0" applyNumberFormat="1" applyFont="1" applyBorder="1"/>
    <xf numFmtId="0" fontId="15" fillId="0" borderId="0" xfId="0" applyFont="1"/>
    <xf numFmtId="0" fontId="11" fillId="3" borderId="2" xfId="0" applyFont="1" applyFill="1" applyBorder="1" applyAlignment="1">
      <alignment horizontal="center" vertical="center" wrapText="1"/>
    </xf>
    <xf numFmtId="43" fontId="11" fillId="3" borderId="2" xfId="1" applyFont="1" applyFill="1" applyBorder="1"/>
    <xf numFmtId="43" fontId="13" fillId="0" borderId="0" xfId="0" applyNumberFormat="1" applyFont="1"/>
    <xf numFmtId="165" fontId="13" fillId="0" borderId="2" xfId="0" applyNumberFormat="1" applyFont="1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</cellXfs>
  <cellStyles count="6">
    <cellStyle name="% 2" xfId="4" xr:uid="{F4DB685A-3FF2-4CA3-B8C6-B10F7D61DCD7}"/>
    <cellStyle name="Comma" xfId="1" builtinId="3"/>
    <cellStyle name="Comma 2" xfId="3" xr:uid="{8318B4B0-D870-4BCA-A50E-375346CCDF21}"/>
    <cellStyle name="Comma 2 2" xfId="5" xr:uid="{B8B0C82A-FFD1-49B1-82E1-71289E9AE059}"/>
    <cellStyle name="Normal" xfId="0" builtinId="0"/>
    <cellStyle name="Normal 2" xfId="2" xr:uid="{B7943739-6952-459B-A46D-089F01AB8924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10085</xdr:rowOff>
    </xdr:from>
    <xdr:to>
      <xdr:col>10</xdr:col>
      <xdr:colOff>602129</xdr:colOff>
      <xdr:row>27</xdr:row>
      <xdr:rowOff>16436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F65387-57BE-E77B-6A33-19918FED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286685"/>
          <a:ext cx="7984004" cy="2540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0</xdr:row>
      <xdr:rowOff>19050</xdr:rowOff>
    </xdr:from>
    <xdr:to>
      <xdr:col>24</xdr:col>
      <xdr:colOff>123825</xdr:colOff>
      <xdr:row>7</xdr:row>
      <xdr:rowOff>164727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631281-556F-4C38-CFB3-8E14EFAC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19050"/>
          <a:ext cx="7321550" cy="1733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B25D-9334-403F-953A-5A8E0B6AF43B}">
  <dimension ref="A1:S10"/>
  <sheetViews>
    <sheetView showGridLines="0" zoomScaleNormal="100" workbookViewId="0">
      <selection activeCell="N6" sqref="N6"/>
    </sheetView>
  </sheetViews>
  <sheetFormatPr defaultRowHeight="14.5" outlineLevelCol="1" x14ac:dyDescent="0.35"/>
  <cols>
    <col min="2" max="2" width="19" style="1" customWidth="1"/>
    <col min="3" max="4" width="10.81640625" style="1" customWidth="1" outlineLevel="1"/>
    <col min="5" max="12" width="10.81640625" style="2" customWidth="1"/>
    <col min="13" max="13" width="5.7265625" style="2" customWidth="1"/>
    <col min="14" max="14" width="10.81640625" style="7" customWidth="1"/>
    <col min="15" max="16" width="10.81640625" style="5" customWidth="1"/>
    <col min="17" max="17" width="10.81640625" style="2" customWidth="1"/>
    <col min="19" max="19" width="29.54296875" bestFit="1" customWidth="1"/>
  </cols>
  <sheetData>
    <row r="1" spans="1:19" s="2" customFormat="1" x14ac:dyDescent="0.35">
      <c r="A1"/>
      <c r="B1"/>
      <c r="C1"/>
      <c r="D1"/>
      <c r="E1"/>
      <c r="F1"/>
      <c r="G1"/>
      <c r="H1"/>
      <c r="I1"/>
      <c r="J1"/>
      <c r="K1"/>
      <c r="L1"/>
      <c r="M1"/>
      <c r="N1" s="6"/>
      <c r="O1" s="4"/>
      <c r="P1"/>
      <c r="Q1"/>
      <c r="R1"/>
      <c r="S1"/>
    </row>
    <row r="2" spans="1:19" s="2" customFormat="1" ht="58" customHeight="1" x14ac:dyDescent="0.35">
      <c r="A2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/>
      <c r="N2" s="6"/>
      <c r="O2" s="4"/>
      <c r="P2"/>
      <c r="Q2"/>
      <c r="R2"/>
      <c r="S2"/>
    </row>
    <row r="3" spans="1:19" s="2" customFormat="1" x14ac:dyDescent="0.35">
      <c r="A3"/>
      <c r="B3"/>
      <c r="C3"/>
      <c r="D3"/>
      <c r="E3"/>
      <c r="F3"/>
      <c r="G3"/>
      <c r="H3"/>
      <c r="I3"/>
      <c r="J3"/>
      <c r="K3"/>
      <c r="L3"/>
      <c r="M3"/>
      <c r="N3" s="6"/>
      <c r="O3" s="4"/>
      <c r="P3"/>
      <c r="Q3"/>
      <c r="R3"/>
      <c r="S3"/>
    </row>
    <row r="4" spans="1:19" s="2" customFormat="1" ht="43.5" x14ac:dyDescent="0.35">
      <c r="A4"/>
      <c r="B4" s="20">
        <v>3252603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2" t="s">
        <v>9</v>
      </c>
      <c r="J4" s="20" t="s">
        <v>10</v>
      </c>
      <c r="K4" s="20" t="s">
        <v>11</v>
      </c>
      <c r="L4" s="20" t="s">
        <v>12</v>
      </c>
      <c r="M4"/>
      <c r="N4" s="6" t="s">
        <v>13</v>
      </c>
      <c r="O4" s="4"/>
      <c r="P4"/>
      <c r="Q4"/>
      <c r="R4"/>
      <c r="S4"/>
    </row>
    <row r="5" spans="1:19" x14ac:dyDescent="0.35">
      <c r="B5" s="21" t="s">
        <v>14</v>
      </c>
      <c r="C5" s="23"/>
      <c r="D5" s="24" t="e">
        <f>SUMIFS(#REF!,#REF!,'Q7 Running costs'!B4,#REF!,"Expenditure")</f>
        <v>#REF!</v>
      </c>
      <c r="E5" s="25" t="e">
        <f>#REF!+#REF!</f>
        <v>#REF!</v>
      </c>
      <c r="F5" s="25" t="e">
        <f>#REF!+#REF!</f>
        <v>#REF!</v>
      </c>
      <c r="G5" s="25" t="e">
        <f>SUMIF(#REF!,"NHS",#REF!)</f>
        <v>#REF!</v>
      </c>
      <c r="H5" s="25" t="e">
        <f>SUMIF(#REF!,"Other",#REF!)</f>
        <v>#REF!</v>
      </c>
      <c r="I5" s="26" t="e">
        <f>SUM(E5:H5)</f>
        <v>#REF!</v>
      </c>
      <c r="J5" s="27" t="e">
        <f>D5+I5</f>
        <v>#REF!</v>
      </c>
      <c r="K5" s="28">
        <f>IFERROR(D5/C5/365,0)</f>
        <v>0</v>
      </c>
      <c r="L5" s="28">
        <f>IFERROR(J5/C5/365,0)</f>
        <v>0</v>
      </c>
      <c r="M5"/>
      <c r="N5" s="6" t="e">
        <f>SUMIF(#REF!,'Q7 Running costs'!B4,#REF!)</f>
        <v>#REF!</v>
      </c>
      <c r="O5" s="4" t="e">
        <f>N5-D5-G5-H5</f>
        <v>#REF!</v>
      </c>
      <c r="P5"/>
      <c r="Q5"/>
    </row>
    <row r="6" spans="1:19" x14ac:dyDescent="0.35">
      <c r="B6" s="21" t="s">
        <v>15</v>
      </c>
      <c r="C6" s="23"/>
      <c r="D6" s="24" t="e">
        <f>SUMIFS(#REF!,#REF!,'Q7 Running costs'!B4,#REF!,"Expenditure")</f>
        <v>#REF!</v>
      </c>
      <c r="E6" s="25" t="e">
        <f>#REF!+#REF!</f>
        <v>#REF!</v>
      </c>
      <c r="F6" s="25" t="e">
        <f>#REF!+#REF!</f>
        <v>#REF!</v>
      </c>
      <c r="G6" s="25" t="e">
        <f>SUMIF(#REF!,"NHS",#REF!)</f>
        <v>#REF!</v>
      </c>
      <c r="H6" s="25">
        <v>0</v>
      </c>
      <c r="I6" s="26" t="e">
        <f t="shared" ref="I6:I7" si="0">SUM(E6:H6)</f>
        <v>#REF!</v>
      </c>
      <c r="J6" s="27" t="e">
        <f t="shared" ref="J6:J7" si="1">D6+I6</f>
        <v>#REF!</v>
      </c>
      <c r="K6" s="28">
        <f>IFERROR(D6/C6/365,0)</f>
        <v>0</v>
      </c>
      <c r="L6" s="28">
        <f>IFERROR(J6/C6/365,0)</f>
        <v>0</v>
      </c>
      <c r="M6"/>
      <c r="N6" s="6" t="e">
        <f>SUMIF(#REF!,'Q7 Running costs'!B4,#REF!)</f>
        <v>#REF!</v>
      </c>
      <c r="O6" s="4" t="e">
        <f>N6-D6-G6-H6</f>
        <v>#REF!</v>
      </c>
      <c r="P6"/>
      <c r="Q6"/>
    </row>
    <row r="7" spans="1:19" x14ac:dyDescent="0.35">
      <c r="B7" s="21" t="s">
        <v>16</v>
      </c>
      <c r="C7" s="29">
        <v>3</v>
      </c>
      <c r="D7" s="24" t="e">
        <f>SUMIFS(#REF!,#REF!,'Q7 Running costs'!B4,#REF!,"Expenditure")</f>
        <v>#REF!</v>
      </c>
      <c r="E7" s="30" t="e">
        <f>#REF!+#REF!</f>
        <v>#REF!</v>
      </c>
      <c r="F7" s="30" t="e">
        <f>#REF!+#REF!</f>
        <v>#REF!</v>
      </c>
      <c r="G7" s="23"/>
      <c r="H7" s="30" t="e">
        <f>SUMIFS(#REF!,#REF!,'Q7 Running costs'!B4,#REF!,"Income")</f>
        <v>#REF!</v>
      </c>
      <c r="I7" s="26" t="e">
        <f t="shared" si="0"/>
        <v>#REF!</v>
      </c>
      <c r="J7" s="27" t="e">
        <f t="shared" si="1"/>
        <v>#REF!</v>
      </c>
      <c r="K7" s="28">
        <f>IFERROR(D7/C7/365,0)</f>
        <v>0</v>
      </c>
      <c r="L7" s="28">
        <f>IFERROR(J7/C7/365,0)</f>
        <v>0</v>
      </c>
      <c r="M7"/>
      <c r="N7" s="6" t="e">
        <f>SUMIF(#REF!,'Q7 Running costs'!B4,#REF!)</f>
        <v>#REF!</v>
      </c>
      <c r="O7" s="4" t="e">
        <f>N7-D7-G7-H7</f>
        <v>#REF!</v>
      </c>
      <c r="P7"/>
      <c r="Q7"/>
    </row>
    <row r="9" spans="1:19" x14ac:dyDescent="0.35">
      <c r="B9" s="8" t="s">
        <v>2</v>
      </c>
    </row>
    <row r="10" spans="1:19" x14ac:dyDescent="0.35">
      <c r="B10" t="s">
        <v>17</v>
      </c>
    </row>
  </sheetData>
  <mergeCells count="1">
    <mergeCell ref="B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D1C6-046A-402B-A7DD-EF825C41BDBE}">
  <sheetPr>
    <tabColor rgb="FFFF66CC"/>
  </sheetPr>
  <dimension ref="A2:T60"/>
  <sheetViews>
    <sheetView showGridLines="0" workbookViewId="0">
      <selection activeCell="E24" sqref="E24"/>
    </sheetView>
  </sheetViews>
  <sheetFormatPr defaultRowHeight="14.5" x14ac:dyDescent="0.35"/>
  <cols>
    <col min="2" max="2" width="30.81640625" customWidth="1"/>
    <col min="3" max="3" width="10.453125" customWidth="1"/>
    <col min="4" max="4" width="10.453125" style="9" customWidth="1"/>
    <col min="5" max="12" width="10.453125" customWidth="1"/>
    <col min="13" max="13" width="2.1796875" customWidth="1"/>
    <col min="14" max="14" width="10.453125" customWidth="1"/>
    <col min="15" max="15" width="2.1796875" customWidth="1"/>
    <col min="16" max="16" width="10.81640625" bestFit="1" customWidth="1"/>
    <col min="18" max="18" width="2.1796875" customWidth="1"/>
    <col min="19" max="19" width="10.453125" customWidth="1"/>
  </cols>
  <sheetData>
    <row r="2" spans="1:20" s="1" customFormat="1" ht="43" customHeight="1" x14ac:dyDescent="0.35">
      <c r="B2" s="47" t="s">
        <v>0</v>
      </c>
      <c r="C2" s="47"/>
      <c r="D2" s="47"/>
      <c r="E2" s="47"/>
      <c r="F2" s="47"/>
      <c r="G2" s="47"/>
      <c r="H2" s="47"/>
      <c r="I2" s="47"/>
    </row>
    <row r="3" spans="1:20" s="1" customFormat="1" ht="11.5" customHeight="1" x14ac:dyDescent="0.35">
      <c r="B3" s="11"/>
      <c r="C3" s="11"/>
      <c r="D3" s="11"/>
      <c r="E3" s="11"/>
      <c r="F3" s="11"/>
      <c r="G3" s="11"/>
      <c r="H3" s="11"/>
      <c r="I3" s="11"/>
    </row>
    <row r="4" spans="1:20" x14ac:dyDescent="0.35">
      <c r="B4" t="s">
        <v>1</v>
      </c>
    </row>
    <row r="5" spans="1:20" x14ac:dyDescent="0.35">
      <c r="A5" t="str">
        <f>LEFT(B5,7)</f>
        <v>3251103</v>
      </c>
      <c r="B5" s="21" t="s">
        <v>18</v>
      </c>
      <c r="C5" s="31" t="s">
        <v>19</v>
      </c>
    </row>
    <row r="6" spans="1:20" x14ac:dyDescent="0.35">
      <c r="A6" t="str">
        <f t="shared" ref="A6:A12" si="0">LEFT(B6,7)</f>
        <v>3251403</v>
      </c>
      <c r="B6" s="21" t="s">
        <v>20</v>
      </c>
      <c r="C6" s="31" t="s">
        <v>21</v>
      </c>
    </row>
    <row r="7" spans="1:20" x14ac:dyDescent="0.35">
      <c r="A7" t="str">
        <f t="shared" si="0"/>
        <v>3251803</v>
      </c>
      <c r="B7" s="21" t="s">
        <v>22</v>
      </c>
      <c r="C7" s="31" t="s">
        <v>23</v>
      </c>
      <c r="E7" s="8" t="s">
        <v>2</v>
      </c>
      <c r="F7" s="1"/>
      <c r="G7" s="1"/>
      <c r="H7" s="2"/>
      <c r="I7" s="2"/>
    </row>
    <row r="8" spans="1:20" x14ac:dyDescent="0.35">
      <c r="A8" t="str">
        <f t="shared" si="0"/>
        <v>3253903</v>
      </c>
      <c r="B8" s="21" t="s">
        <v>24</v>
      </c>
      <c r="C8" s="31" t="s">
        <v>25</v>
      </c>
      <c r="E8" t="s">
        <v>26</v>
      </c>
      <c r="F8" s="1"/>
      <c r="G8" s="1"/>
      <c r="H8" s="2"/>
      <c r="I8" s="2"/>
    </row>
    <row r="9" spans="1:20" x14ac:dyDescent="0.35">
      <c r="A9" t="str">
        <f t="shared" si="0"/>
        <v>3252603</v>
      </c>
      <c r="B9" s="21" t="s">
        <v>27</v>
      </c>
      <c r="C9" s="31" t="s">
        <v>28</v>
      </c>
      <c r="E9" t="s">
        <v>29</v>
      </c>
      <c r="F9" s="1"/>
      <c r="G9" s="1"/>
      <c r="H9" s="2"/>
      <c r="I9" s="2"/>
    </row>
    <row r="10" spans="1:20" x14ac:dyDescent="0.35">
      <c r="A10" t="str">
        <f t="shared" si="0"/>
        <v>3251603</v>
      </c>
      <c r="B10" s="21" t="s">
        <v>30</v>
      </c>
      <c r="C10" s="31" t="s">
        <v>31</v>
      </c>
      <c r="E10" t="s">
        <v>32</v>
      </c>
    </row>
    <row r="11" spans="1:20" x14ac:dyDescent="0.35">
      <c r="A11" t="str">
        <f t="shared" si="0"/>
        <v>3252203</v>
      </c>
      <c r="B11" s="21" t="s">
        <v>33</v>
      </c>
      <c r="C11" s="31" t="s">
        <v>34</v>
      </c>
      <c r="E11" t="s">
        <v>35</v>
      </c>
    </row>
    <row r="12" spans="1:20" x14ac:dyDescent="0.35">
      <c r="A12" t="str">
        <f t="shared" si="0"/>
        <v>3254403</v>
      </c>
      <c r="B12" s="21" t="s">
        <v>36</v>
      </c>
      <c r="C12" s="31" t="s">
        <v>37</v>
      </c>
      <c r="E12" t="s">
        <v>38</v>
      </c>
    </row>
    <row r="13" spans="1:20" x14ac:dyDescent="0.35">
      <c r="B13" s="3"/>
      <c r="C13" s="3"/>
      <c r="E13" s="12"/>
      <c r="F13" s="12"/>
    </row>
    <row r="14" spans="1:20" x14ac:dyDescent="0.35">
      <c r="B14" s="21" t="s">
        <v>27</v>
      </c>
      <c r="N14" s="10" t="s">
        <v>39</v>
      </c>
      <c r="S14" s="10"/>
    </row>
    <row r="15" spans="1:20" ht="60" x14ac:dyDescent="0.35">
      <c r="B15" s="20" t="s">
        <v>40</v>
      </c>
      <c r="C15" s="13" t="s">
        <v>41</v>
      </c>
      <c r="D15" s="32" t="s">
        <v>4</v>
      </c>
      <c r="E15" s="20" t="s">
        <v>5</v>
      </c>
      <c r="F15" s="20" t="s">
        <v>6</v>
      </c>
      <c r="G15" s="20" t="s">
        <v>7</v>
      </c>
      <c r="H15" s="20" t="s">
        <v>8</v>
      </c>
      <c r="I15" s="22" t="s">
        <v>9</v>
      </c>
      <c r="J15" s="20" t="s">
        <v>10</v>
      </c>
      <c r="K15" s="20" t="s">
        <v>11</v>
      </c>
      <c r="L15" s="20" t="s">
        <v>12</v>
      </c>
      <c r="N15" s="20" t="s">
        <v>12</v>
      </c>
      <c r="P15" s="6" t="s">
        <v>13</v>
      </c>
      <c r="Q15" s="4"/>
      <c r="S15" s="20" t="s">
        <v>42</v>
      </c>
      <c r="T15" s="10" t="s">
        <v>43</v>
      </c>
    </row>
    <row r="16" spans="1:20" x14ac:dyDescent="0.35">
      <c r="A16" t="s">
        <v>44</v>
      </c>
      <c r="B16" s="21" t="s">
        <v>14</v>
      </c>
      <c r="C16" s="33"/>
      <c r="D16" s="34" t="e">
        <f>SUMIFS(#REF!,#REF!,B15,#REF!,"Expenditure")</f>
        <v>#REF!</v>
      </c>
      <c r="E16" s="25" t="e">
        <f>#REF!+#REF!</f>
        <v>#REF!</v>
      </c>
      <c r="F16" s="25" t="e">
        <f>#REF!+#REF!</f>
        <v>#REF!</v>
      </c>
      <c r="G16" s="25" t="e">
        <f>SUMIFS(#REF!,#REF!,$B$15,#REF!,"NHS",#REF!,'Q7&amp;8 occupied unit cost v1 DNU'!A16)</f>
        <v>#REF!</v>
      </c>
      <c r="H16" s="25" t="e">
        <f>SUMIFS(#REF!,#REF!,$B$15,#REF!,"Other",#REF!,'Q7&amp;8 occupied unit cost v1 DNU'!A16)</f>
        <v>#REF!</v>
      </c>
      <c r="I16" s="26" t="e">
        <f>SUM(E16:H16)</f>
        <v>#REF!</v>
      </c>
      <c r="J16" s="27" t="e">
        <f>D16+I16</f>
        <v>#REF!</v>
      </c>
      <c r="K16" s="28">
        <f>IFERROR(D16/C16/365,0)</f>
        <v>0</v>
      </c>
      <c r="L16" s="28">
        <f>IFERROR(J16/C16/365,0)</f>
        <v>0</v>
      </c>
      <c r="N16" s="28">
        <f>IFERROR((D16+G16+H16)/C16/365,0)</f>
        <v>0</v>
      </c>
      <c r="P16" s="6" t="e">
        <f>SUMIF(#REF!,$B$15,#REF!)</f>
        <v>#REF!</v>
      </c>
      <c r="Q16" s="4" t="e">
        <f>P16-D16-G16-H16</f>
        <v>#REF!</v>
      </c>
      <c r="S16" s="28" t="e">
        <f>COUNTIFS(#REF!,"Grisedale Croft",#REF!,"Yes")</f>
        <v>#REF!</v>
      </c>
    </row>
    <row r="17" spans="1:19" x14ac:dyDescent="0.35">
      <c r="A17" t="s">
        <v>45</v>
      </c>
      <c r="B17" s="21" t="s">
        <v>15</v>
      </c>
      <c r="C17" s="33"/>
      <c r="D17" s="34" t="e">
        <f>SUMIFS(#REF!,#REF!,B15,#REF!,"Expenditure")</f>
        <v>#REF!</v>
      </c>
      <c r="E17" s="25" t="e">
        <f>SUMIF(#REF!,B15,#REF!)+SUMIF(#REF!,'Q7&amp;8 occupied unit cost v1 DNU'!B15,#REF!)</f>
        <v>#REF!</v>
      </c>
      <c r="F17" s="25" t="e">
        <f>SUMIF(#REF!,B15,#REF!)+SUMIF(#REF!,B15,#REF!)</f>
        <v>#REF!</v>
      </c>
      <c r="G17" s="25" t="e">
        <f>SUMIFS(#REF!,#REF!,$B$15,#REF!,"NHS",#REF!,'Q7&amp;8 occupied unit cost v1 DNU'!A17)</f>
        <v>#REF!</v>
      </c>
      <c r="H17" s="25" t="e">
        <f>SUMIFS(#REF!,#REF!,$B$15,#REF!,"Other",#REF!,'Q7&amp;8 occupied unit cost v1 DNU'!A17)</f>
        <v>#REF!</v>
      </c>
      <c r="I17" s="26" t="e">
        <f t="shared" ref="I17:I18" si="1">SUM(E17:H17)</f>
        <v>#REF!</v>
      </c>
      <c r="J17" s="27" t="e">
        <f t="shared" ref="J17:J18" si="2">D17+I17</f>
        <v>#REF!</v>
      </c>
      <c r="K17" s="28">
        <f>IFERROR(D17/C17/365,0)</f>
        <v>0</v>
      </c>
      <c r="L17" s="28">
        <f>IFERROR(J17/C17/365,0)</f>
        <v>0</v>
      </c>
      <c r="N17" s="28">
        <f t="shared" ref="N17:N18" si="3">IFERROR((D17+G17+H17)/C17/365,0)</f>
        <v>0</v>
      </c>
      <c r="P17" s="6" t="e">
        <f>SUMIF(#REF!,B15,#REF!)</f>
        <v>#REF!</v>
      </c>
      <c r="Q17" s="4" t="e">
        <f t="shared" ref="Q17" si="4">P17-D17-G17-H17</f>
        <v>#REF!</v>
      </c>
      <c r="S17" s="28" t="e">
        <f>COUNTIFS(#REF!,"Grisedale Croft",#REF!,"Yes")</f>
        <v>#REF!</v>
      </c>
    </row>
    <row r="18" spans="1:19" x14ac:dyDescent="0.35">
      <c r="A18" t="s">
        <v>46</v>
      </c>
      <c r="B18" s="21" t="s">
        <v>16</v>
      </c>
      <c r="C18" s="23">
        <v>5</v>
      </c>
      <c r="D18" s="34" t="e">
        <f>SUMIFS(#REF!,#REF!,B15,#REF!,"Expenditure")</f>
        <v>#REF!</v>
      </c>
      <c r="E18" s="25" t="e">
        <f>SUMIF(#REF!,B15,#REF!)+SUMIF(#REF!,B15,#REF!)</f>
        <v>#REF!</v>
      </c>
      <c r="F18" s="25" t="e">
        <f>SUMIF(#REF!,B15,#REF!)+SUMIF(#REF!,B15,#REF!)</f>
        <v>#REF!</v>
      </c>
      <c r="G18" s="25" t="e">
        <f>SUMIFS(#REF!,#REF!,"77602",#REF!,'Q7&amp;8 occupied unit cost v1 DNU'!$B$15)</f>
        <v>#REF!</v>
      </c>
      <c r="H18" s="25" t="e">
        <f>SUMIFS(#REF!,#REF!,$B$15,#REF!,"Income")</f>
        <v>#REF!</v>
      </c>
      <c r="I18" s="26" t="e">
        <f t="shared" si="1"/>
        <v>#REF!</v>
      </c>
      <c r="J18" s="27" t="e">
        <f t="shared" si="2"/>
        <v>#REF!</v>
      </c>
      <c r="K18" s="28">
        <f>IFERROR(D18/C18/365,0)</f>
        <v>0</v>
      </c>
      <c r="L18" s="28">
        <f>IFERROR(J18/C18/365,0)</f>
        <v>0</v>
      </c>
      <c r="N18" s="28">
        <f t="shared" si="3"/>
        <v>0</v>
      </c>
      <c r="P18" s="6" t="e">
        <f>SUMIF(#REF!,B15,#REF!)</f>
        <v>#REF!</v>
      </c>
      <c r="Q18" s="4" t="e">
        <f t="shared" ref="Q18" si="5">P18-D18-G18-H18</f>
        <v>#REF!</v>
      </c>
      <c r="S18" s="28" t="e">
        <f>COUNTIFS(#REF!,"Grisedale Croft",#REF!,"Yes")</f>
        <v>#REF!</v>
      </c>
    </row>
    <row r="20" spans="1:19" x14ac:dyDescent="0.35">
      <c r="B20" s="21" t="s">
        <v>18</v>
      </c>
    </row>
    <row r="21" spans="1:19" ht="60" x14ac:dyDescent="0.35">
      <c r="B21" s="20">
        <v>3251103</v>
      </c>
      <c r="C21" s="13" t="s">
        <v>41</v>
      </c>
      <c r="D21" s="32" t="s">
        <v>4</v>
      </c>
      <c r="E21" s="20" t="s">
        <v>5</v>
      </c>
      <c r="F21" s="20" t="s">
        <v>6</v>
      </c>
      <c r="G21" s="20" t="s">
        <v>7</v>
      </c>
      <c r="H21" s="20" t="s">
        <v>8</v>
      </c>
      <c r="I21" s="22" t="s">
        <v>9</v>
      </c>
      <c r="J21" s="20" t="s">
        <v>10</v>
      </c>
      <c r="K21" s="20" t="s">
        <v>11</v>
      </c>
      <c r="L21" s="20" t="s">
        <v>12</v>
      </c>
      <c r="N21" s="20" t="s">
        <v>12</v>
      </c>
      <c r="S21" s="20" t="s">
        <v>42</v>
      </c>
    </row>
    <row r="22" spans="1:19" x14ac:dyDescent="0.35">
      <c r="A22" t="s">
        <v>44</v>
      </c>
      <c r="B22" s="21" t="s">
        <v>14</v>
      </c>
      <c r="C22" s="23"/>
      <c r="D22" s="34" t="e">
        <f>SUMIFS(#REF!,#REF!,B21,#REF!,"Expenditure")</f>
        <v>#REF!</v>
      </c>
      <c r="E22" s="25" t="e">
        <f>SUMIF(#REF!,'Q7&amp;8 occupied unit cost v1 DNU'!$B$21,#REF!)+SUMIF(#REF!,'Q7&amp;8 occupied unit cost v1 DNU'!$B$21,#REF!)</f>
        <v>#REF!</v>
      </c>
      <c r="F22" s="25" t="e">
        <f>SUMIF(#REF!,'Q7&amp;8 occupied unit cost v1 DNU'!$B$21,#REF!)+SUMIF(#REF!,'Q7&amp;8 occupied unit cost v1 DNU'!$B$21,#REF!)</f>
        <v>#REF!</v>
      </c>
      <c r="G22" s="25" t="e">
        <f>SUMIFS(#REF!,#REF!,'Q7&amp;8 occupied unit cost v1 DNU'!$B$21,#REF!,"NHS",#REF!,'Q7&amp;8 occupied unit cost v1 DNU'!A22)</f>
        <v>#REF!</v>
      </c>
      <c r="H22" s="25" t="e">
        <f>SUMIFS(#REF!,#REF!,'Q7&amp;8 occupied unit cost v1 DNU'!$B$21,#REF!,"Other",#REF!,'Q7&amp;8 occupied unit cost v1 DNU'!A22)</f>
        <v>#REF!</v>
      </c>
      <c r="I22" s="26" t="e">
        <f>SUM(E22:H22)</f>
        <v>#REF!</v>
      </c>
      <c r="J22" s="27" t="e">
        <f>D22+I22</f>
        <v>#REF!</v>
      </c>
      <c r="K22" s="28">
        <f>IFERROR(D22/C22/365,0)</f>
        <v>0</v>
      </c>
      <c r="L22" s="28">
        <f>IFERROR(J22/C22/365,0)</f>
        <v>0</v>
      </c>
      <c r="N22" s="28">
        <f t="shared" ref="N22:N24" si="6">IFERROR((D22+G22+H22)/C22/365,0)</f>
        <v>0</v>
      </c>
      <c r="P22" s="6" t="e">
        <f>SUMIF(#REF!,$B$21,#REF!)</f>
        <v>#REF!</v>
      </c>
      <c r="Q22" s="4" t="e">
        <f>P22-D22-G22-H22</f>
        <v>#REF!</v>
      </c>
      <c r="S22" s="28" t="e">
        <f>COUNTIFS(#REF!,"Applethwaite Green",#REF!,"Yes")</f>
        <v>#REF!</v>
      </c>
    </row>
    <row r="23" spans="1:19" x14ac:dyDescent="0.35">
      <c r="A23" t="s">
        <v>45</v>
      </c>
      <c r="B23" s="21" t="s">
        <v>15</v>
      </c>
      <c r="C23" s="23"/>
      <c r="D23" s="34" t="e">
        <f>SUMIFS(#REF!,#REF!,B21,#REF!,"Expenditure")</f>
        <v>#REF!</v>
      </c>
      <c r="E23" s="25" t="e">
        <f>SUMIF(#REF!,B21,#REF!)+SUMIF(#REF!,'Q7&amp;8 occupied unit cost v1 DNU'!B21,#REF!)</f>
        <v>#REF!</v>
      </c>
      <c r="F23" s="25" t="e">
        <f>SUMIF(#REF!,B21,#REF!)+SUMIF(#REF!,B21,#REF!)</f>
        <v>#REF!</v>
      </c>
      <c r="G23" s="25" t="e">
        <f>SUMIFS(#REF!,#REF!,'Q7&amp;8 occupied unit cost v1 DNU'!$B$21,#REF!,"NHS",#REF!,'Q7&amp;8 occupied unit cost v1 DNU'!A23)</f>
        <v>#REF!</v>
      </c>
      <c r="H23" s="25" t="e">
        <f>SUMIFS(#REF!,#REF!,'Q7&amp;8 occupied unit cost v1 DNU'!$B$21,#REF!,"Other",#REF!,'Q7&amp;8 occupied unit cost v1 DNU'!A23)</f>
        <v>#REF!</v>
      </c>
      <c r="I23" s="26" t="e">
        <f t="shared" ref="I23:I24" si="7">SUM(E23:H23)</f>
        <v>#REF!</v>
      </c>
      <c r="J23" s="27" t="e">
        <f t="shared" ref="J23:J24" si="8">D23+I23</f>
        <v>#REF!</v>
      </c>
      <c r="K23" s="28">
        <f>IFERROR(D23/C23/365,0)</f>
        <v>0</v>
      </c>
      <c r="L23" s="28">
        <f>IFERROR(J23/C23/365,0)</f>
        <v>0</v>
      </c>
      <c r="N23" s="28">
        <f t="shared" si="6"/>
        <v>0</v>
      </c>
      <c r="P23" s="6" t="e">
        <f>SUMIF(#REF!,B21,#REF!)</f>
        <v>#REF!</v>
      </c>
      <c r="Q23" s="4" t="e">
        <f t="shared" ref="Q23:Q24" si="9">P23-D23-G23-H23</f>
        <v>#REF!</v>
      </c>
      <c r="S23" s="28" t="e">
        <f>COUNTIFS(#REF!,"Applethwaite Green",#REF!,"Yes")</f>
        <v>#REF!</v>
      </c>
    </row>
    <row r="24" spans="1:19" x14ac:dyDescent="0.35">
      <c r="A24" t="s">
        <v>46</v>
      </c>
      <c r="B24" s="21" t="s">
        <v>16</v>
      </c>
      <c r="C24" s="23">
        <v>15</v>
      </c>
      <c r="D24" s="34" t="e">
        <f>SUMIFS(#REF!,#REF!,B21,#REF!,"Expenditure")</f>
        <v>#REF!</v>
      </c>
      <c r="E24" s="25" t="e">
        <f>SUMIF(#REF!,B21,#REF!)+SUMIF(#REF!,B21,#REF!)</f>
        <v>#REF!</v>
      </c>
      <c r="F24" s="25" t="e">
        <f>SUMIF(#REF!,B21,#REF!)+SUMIF(#REF!,B21,#REF!)</f>
        <v>#REF!</v>
      </c>
      <c r="G24" s="25" t="e">
        <f>SUMIFS(#REF!,#REF!,"77602",#REF!,$B$21)</f>
        <v>#REF!</v>
      </c>
      <c r="H24" s="25" t="e">
        <f>SUMIFS(#REF!,#REF!,$B$21,#REF!,"Income")</f>
        <v>#REF!</v>
      </c>
      <c r="I24" s="26" t="e">
        <f t="shared" si="7"/>
        <v>#REF!</v>
      </c>
      <c r="J24" s="27" t="e">
        <f t="shared" si="8"/>
        <v>#REF!</v>
      </c>
      <c r="K24" s="28">
        <f>IFERROR(D24/C24/365,0)</f>
        <v>0</v>
      </c>
      <c r="L24" s="28">
        <f>IFERROR(J24/C24/365,0)</f>
        <v>0</v>
      </c>
      <c r="N24" s="28">
        <f t="shared" si="6"/>
        <v>0</v>
      </c>
      <c r="P24" s="6" t="e">
        <f>SUMIF(#REF!,B21,#REF!)</f>
        <v>#REF!</v>
      </c>
      <c r="Q24" s="4" t="e">
        <f t="shared" si="9"/>
        <v>#REF!</v>
      </c>
      <c r="S24" s="28" t="e">
        <f>COUNTIFS(#REF!,"Applethwaite Green",#REF!,"Yes")</f>
        <v>#REF!</v>
      </c>
    </row>
    <row r="26" spans="1:19" x14ac:dyDescent="0.35">
      <c r="B26" s="21" t="s">
        <v>20</v>
      </c>
    </row>
    <row r="27" spans="1:19" ht="60" x14ac:dyDescent="0.35">
      <c r="B27" s="20">
        <v>3251403</v>
      </c>
      <c r="C27" s="13" t="s">
        <v>41</v>
      </c>
      <c r="D27" s="32" t="s">
        <v>4</v>
      </c>
      <c r="E27" s="20" t="s">
        <v>5</v>
      </c>
      <c r="F27" s="20" t="s">
        <v>6</v>
      </c>
      <c r="G27" s="20" t="s">
        <v>7</v>
      </c>
      <c r="H27" s="20" t="s">
        <v>8</v>
      </c>
      <c r="I27" s="22" t="s">
        <v>9</v>
      </c>
      <c r="J27" s="20" t="s">
        <v>10</v>
      </c>
      <c r="K27" s="20" t="s">
        <v>11</v>
      </c>
      <c r="L27" s="20" t="s">
        <v>12</v>
      </c>
      <c r="N27" s="20" t="s">
        <v>12</v>
      </c>
      <c r="S27" s="20" t="s">
        <v>42</v>
      </c>
    </row>
    <row r="28" spans="1:19" x14ac:dyDescent="0.35">
      <c r="A28" t="s">
        <v>44</v>
      </c>
      <c r="B28" s="21" t="s">
        <v>14</v>
      </c>
      <c r="C28" s="23"/>
      <c r="D28" s="34" t="e">
        <f>SUMIFS(#REF!,#REF!,B27,#REF!,"Expenditure")</f>
        <v>#REF!</v>
      </c>
      <c r="E28" s="25" t="e">
        <f>SUMIF(#REF!,B27,#REF!)+SUMIF(#REF!,B27,#REF!)</f>
        <v>#REF!</v>
      </c>
      <c r="F28" s="25" t="e">
        <f>SUMIF(#REF!,$B$27,#REF!)+SUMIF(#REF!,$B$27,#REF!)</f>
        <v>#REF!</v>
      </c>
      <c r="G28" s="25" t="e">
        <f>SUMIFS(#REF!,#REF!,$B$27,#REF!,"NHS",#REF!,'Q7&amp;8 occupied unit cost v1 DNU'!A28)</f>
        <v>#REF!</v>
      </c>
      <c r="H28" s="25" t="e">
        <f>SUMIFS(#REF!,#REF!,$B$27,#REF!,"Other",#REF!,'Q7&amp;8 occupied unit cost v1 DNU'!A28)</f>
        <v>#REF!</v>
      </c>
      <c r="I28" s="26" t="e">
        <f>SUM(E28:H28)</f>
        <v>#REF!</v>
      </c>
      <c r="J28" s="27" t="e">
        <f>D28+I28</f>
        <v>#REF!</v>
      </c>
      <c r="K28" s="28">
        <f>IFERROR(D28/C28/365,0)</f>
        <v>0</v>
      </c>
      <c r="L28" s="28">
        <f>IFERROR(J28/C28/365,0)</f>
        <v>0</v>
      </c>
      <c r="N28" s="28">
        <f t="shared" ref="N28:N30" si="10">IFERROR((D28+G28+H28)/C28/365,0)</f>
        <v>0</v>
      </c>
      <c r="P28" s="6" t="e">
        <f>SUMIF(#REF!,$B$27,#REF!)</f>
        <v>#REF!</v>
      </c>
      <c r="Q28" s="4" t="e">
        <f>P28-D28-G28-H28</f>
        <v>#REF!</v>
      </c>
      <c r="S28" s="28" t="e">
        <f>COUNTIFS(#REF!,"Bridge House",#REF!,"Yes")</f>
        <v>#REF!</v>
      </c>
    </row>
    <row r="29" spans="1:19" x14ac:dyDescent="0.35">
      <c r="A29" t="s">
        <v>45</v>
      </c>
      <c r="B29" s="21" t="s">
        <v>15</v>
      </c>
      <c r="C29" s="23"/>
      <c r="D29" s="34" t="e">
        <f>SUMIFS(#REF!,#REF!,B27,#REF!,"Expenditure")</f>
        <v>#REF!</v>
      </c>
      <c r="E29" s="25" t="e">
        <f>SUMIF(#REF!,B27,#REF!)+SUMIF(#REF!,'Q7&amp;8 occupied unit cost v1 DNU'!B27,#REF!)</f>
        <v>#REF!</v>
      </c>
      <c r="F29" s="25" t="e">
        <f>SUMIF(#REF!,B27,#REF!)+SUMIF(#REF!,B27,#REF!)</f>
        <v>#REF!</v>
      </c>
      <c r="G29" s="25" t="e">
        <f>SUMIFS(#REF!,#REF!,$B$27,#REF!,"NHS",#REF!,'Q7&amp;8 occupied unit cost v1 DNU'!A29)</f>
        <v>#REF!</v>
      </c>
      <c r="H29" s="25" t="e">
        <f>SUMIFS(#REF!,#REF!,$B$27,#REF!,"Other",#REF!,'Q7&amp;8 occupied unit cost v1 DNU'!A29)</f>
        <v>#REF!</v>
      </c>
      <c r="I29" s="26" t="e">
        <f t="shared" ref="I29:I30" si="11">SUM(E29:H29)</f>
        <v>#REF!</v>
      </c>
      <c r="J29" s="27" t="e">
        <f t="shared" ref="J29:J30" si="12">D29+I29</f>
        <v>#REF!</v>
      </c>
      <c r="K29" s="28">
        <f>IFERROR(D29/C29/365,0)</f>
        <v>0</v>
      </c>
      <c r="L29" s="28">
        <f>IFERROR(J29/C29/365,0)</f>
        <v>0</v>
      </c>
      <c r="N29" s="28">
        <f t="shared" si="10"/>
        <v>0</v>
      </c>
      <c r="P29" s="6" t="e">
        <f>SUMIF(#REF!,B27,#REF!)</f>
        <v>#REF!</v>
      </c>
      <c r="Q29" s="4" t="e">
        <f t="shared" ref="Q29:Q30" si="13">P29-D29-G29-H29</f>
        <v>#REF!</v>
      </c>
      <c r="S29" s="28" t="e">
        <f>COUNTIFS(#REF!,"Bridge House",#REF!,"Yes")</f>
        <v>#REF!</v>
      </c>
    </row>
    <row r="30" spans="1:19" x14ac:dyDescent="0.35">
      <c r="A30" t="s">
        <v>46</v>
      </c>
      <c r="B30" s="21" t="s">
        <v>16</v>
      </c>
      <c r="C30" s="23">
        <v>30</v>
      </c>
      <c r="D30" s="34" t="e">
        <f>SUMIFS(#REF!,#REF!,B27,#REF!,"Expenditure")</f>
        <v>#REF!</v>
      </c>
      <c r="E30" s="25" t="e">
        <f>SUMIF(#REF!,B27,#REF!)+SUMIF(#REF!,B27,#REF!)</f>
        <v>#REF!</v>
      </c>
      <c r="F30" s="25" t="e">
        <f>SUMIF(#REF!,B27,#REF!)+SUMIF(#REF!,B27,#REF!)</f>
        <v>#REF!</v>
      </c>
      <c r="G30" s="25" t="e">
        <f>SUMIFS(#REF!,#REF!,"77602",#REF!,$B$27)</f>
        <v>#REF!</v>
      </c>
      <c r="H30" s="25" t="e">
        <f>SUMIFS(#REF!,#REF!,$B$27,#REF!,"Income")</f>
        <v>#REF!</v>
      </c>
      <c r="I30" s="26" t="e">
        <f t="shared" si="11"/>
        <v>#REF!</v>
      </c>
      <c r="J30" s="27" t="e">
        <f t="shared" si="12"/>
        <v>#REF!</v>
      </c>
      <c r="K30" s="28">
        <f>IFERROR(D30/C30/365,0)</f>
        <v>0</v>
      </c>
      <c r="L30" s="28">
        <f>IFERROR(J30/C30/365,0)</f>
        <v>0</v>
      </c>
      <c r="N30" s="28">
        <f t="shared" si="10"/>
        <v>0</v>
      </c>
      <c r="P30" s="6" t="e">
        <f>SUMIF(#REF!,B27,#REF!)</f>
        <v>#REF!</v>
      </c>
      <c r="Q30" s="4" t="e">
        <f t="shared" si="13"/>
        <v>#REF!</v>
      </c>
      <c r="S30" s="28" t="e">
        <f>COUNTIFS(#REF!,"Bridge House",#REF!,"Yes")</f>
        <v>#REF!</v>
      </c>
    </row>
    <row r="32" spans="1:19" x14ac:dyDescent="0.35">
      <c r="B32" s="21" t="s">
        <v>22</v>
      </c>
    </row>
    <row r="33" spans="1:19" ht="60" x14ac:dyDescent="0.35">
      <c r="B33" s="20">
        <v>3251803</v>
      </c>
      <c r="C33" s="13" t="s">
        <v>41</v>
      </c>
      <c r="D33" s="32" t="s">
        <v>4</v>
      </c>
      <c r="E33" s="20" t="s">
        <v>5</v>
      </c>
      <c r="F33" s="20" t="s">
        <v>6</v>
      </c>
      <c r="G33" s="20" t="s">
        <v>7</v>
      </c>
      <c r="H33" s="20" t="s">
        <v>8</v>
      </c>
      <c r="I33" s="22" t="s">
        <v>9</v>
      </c>
      <c r="J33" s="20" t="s">
        <v>10</v>
      </c>
      <c r="K33" s="20" t="s">
        <v>11</v>
      </c>
      <c r="L33" s="20" t="s">
        <v>12</v>
      </c>
      <c r="N33" s="20" t="s">
        <v>12</v>
      </c>
      <c r="S33" s="20" t="s">
        <v>42</v>
      </c>
    </row>
    <row r="34" spans="1:19" x14ac:dyDescent="0.35">
      <c r="A34" t="s">
        <v>44</v>
      </c>
      <c r="B34" s="21" t="s">
        <v>14</v>
      </c>
      <c r="C34" s="23"/>
      <c r="D34" s="34" t="e">
        <f>SUMIFS(#REF!,#REF!,B33,#REF!,"Expenditure")</f>
        <v>#REF!</v>
      </c>
      <c r="E34" s="25" t="e">
        <f>SUMIF(#REF!,B33,#REF!)+SUMIF(#REF!,B33,#REF!)</f>
        <v>#REF!</v>
      </c>
      <c r="F34" s="25" t="e">
        <f>SUMIF(#REF!,$B$33,#REF!)+SUMIF(#REF!,$B$33,#REF!)</f>
        <v>#REF!</v>
      </c>
      <c r="G34" s="25" t="e">
        <f>SUMIFS(#REF!,#REF!,$B$33,#REF!,"NHS",#REF!,'Q7&amp;8 occupied unit cost v1 DNU'!A34)</f>
        <v>#REF!</v>
      </c>
      <c r="H34" s="25" t="e">
        <f>SUMIFS(#REF!,#REF!,$B$33,#REF!,"Other",#REF!,'Q7&amp;8 occupied unit cost v1 DNU'!A34)</f>
        <v>#REF!</v>
      </c>
      <c r="I34" s="26" t="e">
        <f>SUM(E34:H34)</f>
        <v>#REF!</v>
      </c>
      <c r="J34" s="27" t="e">
        <f>D34+I34</f>
        <v>#REF!</v>
      </c>
      <c r="K34" s="28">
        <f>IFERROR(D34/C34/365,0)</f>
        <v>0</v>
      </c>
      <c r="L34" s="28">
        <f>IFERROR(J34/C34/365,0)</f>
        <v>0</v>
      </c>
      <c r="N34" s="28">
        <f t="shared" ref="N34:N36" si="14">IFERROR((D34+G34+H34)/C34/365,0)</f>
        <v>0</v>
      </c>
      <c r="P34" s="6" t="e">
        <f>SUMIF(#REF!,$B$33,#REF!)</f>
        <v>#REF!</v>
      </c>
      <c r="Q34" s="4" t="e">
        <f>P34-D34-G34-H34</f>
        <v>#REF!</v>
      </c>
      <c r="S34" s="28" t="e">
        <f>COUNTIFS(#REF!,"Croftside",#REF!,"Yes")</f>
        <v>#REF!</v>
      </c>
    </row>
    <row r="35" spans="1:19" x14ac:dyDescent="0.35">
      <c r="A35" t="s">
        <v>45</v>
      </c>
      <c r="B35" s="21" t="s">
        <v>15</v>
      </c>
      <c r="C35" s="23"/>
      <c r="D35" s="34" t="e">
        <f>SUMIFS(#REF!,#REF!,B33,#REF!,"Expenditure")</f>
        <v>#REF!</v>
      </c>
      <c r="E35" s="25" t="e">
        <f>SUMIF(#REF!,B33,#REF!)+SUMIF(#REF!,'Q7&amp;8 occupied unit cost v1 DNU'!B33,#REF!)</f>
        <v>#REF!</v>
      </c>
      <c r="F35" s="25" t="e">
        <f>SUMIF(#REF!,B33,#REF!)+SUMIF(#REF!,B33,#REF!)</f>
        <v>#REF!</v>
      </c>
      <c r="G35" s="25" t="e">
        <f>SUMIFS(#REF!,#REF!,$B$33,#REF!,"NHS",#REF!,'Q7&amp;8 occupied unit cost v1 DNU'!A35)</f>
        <v>#REF!</v>
      </c>
      <c r="H35" s="25" t="e">
        <f>SUMIFS(#REF!,#REF!,$B$33,#REF!,"Other",#REF!,'Q7&amp;8 occupied unit cost v1 DNU'!A35)</f>
        <v>#REF!</v>
      </c>
      <c r="I35" s="26" t="e">
        <f t="shared" ref="I35:I36" si="15">SUM(E35:H35)</f>
        <v>#REF!</v>
      </c>
      <c r="J35" s="27" t="e">
        <f t="shared" ref="J35:J36" si="16">D35+I35</f>
        <v>#REF!</v>
      </c>
      <c r="K35" s="28">
        <f>IFERROR(D35/C35/365,0)</f>
        <v>0</v>
      </c>
      <c r="L35" s="28">
        <f>IFERROR(J35/C35/365,0)</f>
        <v>0</v>
      </c>
      <c r="N35" s="28">
        <f t="shared" si="14"/>
        <v>0</v>
      </c>
      <c r="P35" s="6" t="e">
        <f>SUMIF(#REF!,B33,#REF!)</f>
        <v>#REF!</v>
      </c>
      <c r="Q35" s="4" t="e">
        <f t="shared" ref="Q35:Q36" si="17">P35-D35-G35-H35</f>
        <v>#REF!</v>
      </c>
      <c r="S35" s="28" t="e">
        <f>COUNTIFS(#REF!,"Croftside",#REF!,"Yes")</f>
        <v>#REF!</v>
      </c>
    </row>
    <row r="36" spans="1:19" x14ac:dyDescent="0.35">
      <c r="A36" t="s">
        <v>46</v>
      </c>
      <c r="B36" s="21" t="s">
        <v>16</v>
      </c>
      <c r="C36" s="23">
        <v>22</v>
      </c>
      <c r="D36" s="34" t="e">
        <f>SUMIFS(#REF!,#REF!,B33,#REF!,"Expenditure")</f>
        <v>#REF!</v>
      </c>
      <c r="E36" s="25" t="e">
        <f>SUMIF(#REF!,B33,#REF!)+SUMIF(#REF!,B33,#REF!)</f>
        <v>#REF!</v>
      </c>
      <c r="F36" s="25" t="e">
        <f>SUMIF(#REF!,B33,#REF!)+SUMIF(#REF!,B33,#REF!)</f>
        <v>#REF!</v>
      </c>
      <c r="G36" s="25" t="e">
        <f>SUMIFS(#REF!,#REF!,"77602",#REF!,$B$33)</f>
        <v>#REF!</v>
      </c>
      <c r="H36" s="25" t="e">
        <f>SUMIFS(#REF!,#REF!,$B$33,#REF!,"Income")</f>
        <v>#REF!</v>
      </c>
      <c r="I36" s="26" t="e">
        <f t="shared" si="15"/>
        <v>#REF!</v>
      </c>
      <c r="J36" s="27" t="e">
        <f t="shared" si="16"/>
        <v>#REF!</v>
      </c>
      <c r="K36" s="28">
        <f>IFERROR(D36/C36/365,0)</f>
        <v>0</v>
      </c>
      <c r="L36" s="28">
        <f>IFERROR(J36/C36/365,0)</f>
        <v>0</v>
      </c>
      <c r="N36" s="28">
        <f t="shared" si="14"/>
        <v>0</v>
      </c>
      <c r="P36" s="6" t="e">
        <f>SUMIF(#REF!,B33,#REF!)</f>
        <v>#REF!</v>
      </c>
      <c r="Q36" s="4" t="e">
        <f t="shared" si="17"/>
        <v>#REF!</v>
      </c>
      <c r="S36" s="28" t="e">
        <f>COUNTIFS(#REF!,"Croftside",#REF!,"Yes")</f>
        <v>#REF!</v>
      </c>
    </row>
    <row r="38" spans="1:19" x14ac:dyDescent="0.35">
      <c r="B38" s="21" t="s">
        <v>24</v>
      </c>
    </row>
    <row r="39" spans="1:19" ht="60" x14ac:dyDescent="0.35">
      <c r="B39" s="20">
        <v>3253903</v>
      </c>
      <c r="C39" s="13" t="s">
        <v>41</v>
      </c>
      <c r="D39" s="32" t="s">
        <v>4</v>
      </c>
      <c r="E39" s="20" t="s">
        <v>5</v>
      </c>
      <c r="F39" s="20" t="s">
        <v>6</v>
      </c>
      <c r="G39" s="20" t="s">
        <v>7</v>
      </c>
      <c r="H39" s="20" t="s">
        <v>8</v>
      </c>
      <c r="I39" s="22" t="s">
        <v>9</v>
      </c>
      <c r="J39" s="20" t="s">
        <v>10</v>
      </c>
      <c r="K39" s="20" t="s">
        <v>11</v>
      </c>
      <c r="L39" s="20" t="s">
        <v>12</v>
      </c>
      <c r="N39" s="20" t="s">
        <v>12</v>
      </c>
      <c r="S39" s="20" t="s">
        <v>42</v>
      </c>
    </row>
    <row r="40" spans="1:19" x14ac:dyDescent="0.35">
      <c r="A40" t="s">
        <v>44</v>
      </c>
      <c r="B40" s="21" t="s">
        <v>14</v>
      </c>
      <c r="C40" s="23"/>
      <c r="D40" s="34" t="e">
        <f>SUMIFS(#REF!,#REF!,B39,#REF!,"Expenditure")</f>
        <v>#REF!</v>
      </c>
      <c r="E40" s="25" t="e">
        <f>SUMIF(#REF!,B39,#REF!)+SUMIF(#REF!,B39,#REF!)</f>
        <v>#REF!</v>
      </c>
      <c r="F40" s="25" t="e">
        <f>SUMIF(#REF!,$B$39,#REF!)+SUMIF(#REF!,$B$39,#REF!)</f>
        <v>#REF!</v>
      </c>
      <c r="G40" s="25" t="e">
        <f>SUMIFS(#REF!,#REF!,$B$39,#REF!,"NHS",#REF!,'Q7&amp;8 occupied unit cost v1 DNU'!A40)</f>
        <v>#REF!</v>
      </c>
      <c r="H40" s="25" t="e">
        <f>SUMIFS(#REF!,#REF!,$B$39,#REF!,"Other",#REF!,'Q7&amp;8 occupied unit cost v1 DNU'!A40)</f>
        <v>#REF!</v>
      </c>
      <c r="I40" s="26" t="e">
        <f>SUM(E40:H40)</f>
        <v>#REF!</v>
      </c>
      <c r="J40" s="27" t="e">
        <f>D40+I40</f>
        <v>#REF!</v>
      </c>
      <c r="K40" s="28">
        <f>IFERROR(D40/C40/365,0)</f>
        <v>0</v>
      </c>
      <c r="L40" s="28">
        <f>IFERROR(J40/C40/365,0)</f>
        <v>0</v>
      </c>
      <c r="N40" s="28">
        <f t="shared" ref="N40:N42" si="18">IFERROR((D40+G40+H40)/C40/365,0)</f>
        <v>0</v>
      </c>
      <c r="P40" s="6" t="e">
        <f>SUMIF(#REF!,$B$39,#REF!)</f>
        <v>#REF!</v>
      </c>
      <c r="Q40" s="4" t="e">
        <f>P40-D40-G40-H40</f>
        <v>#REF!</v>
      </c>
      <c r="S40" s="28" t="e">
        <f>COUNTIFS(#REF!,"Riverside",#REF!,"Yes")</f>
        <v>#REF!</v>
      </c>
    </row>
    <row r="41" spans="1:19" x14ac:dyDescent="0.35">
      <c r="A41" t="s">
        <v>45</v>
      </c>
      <c r="B41" s="21" t="s">
        <v>15</v>
      </c>
      <c r="C41" s="23"/>
      <c r="D41" s="34" t="e">
        <f>SUMIFS(#REF!,#REF!,B39,#REF!,"Expenditure")</f>
        <v>#REF!</v>
      </c>
      <c r="E41" s="25" t="e">
        <f>SUMIF(#REF!,B39,#REF!)+SUMIF(#REF!,'Q7&amp;8 occupied unit cost v1 DNU'!B39,#REF!)</f>
        <v>#REF!</v>
      </c>
      <c r="F41" s="25" t="e">
        <f>SUMIF(#REF!,B39,#REF!)+SUMIF(#REF!,B39,#REF!)</f>
        <v>#REF!</v>
      </c>
      <c r="G41" s="25" t="e">
        <f>SUMIFS(#REF!,#REF!,$B$39,#REF!,"NHS",#REF!,'Q7&amp;8 occupied unit cost v1 DNU'!A41)</f>
        <v>#REF!</v>
      </c>
      <c r="H41" s="25" t="e">
        <f>SUMIFS(#REF!,#REF!,$B$39,#REF!,"Other",#REF!,'Q7&amp;8 occupied unit cost v1 DNU'!A41)</f>
        <v>#REF!</v>
      </c>
      <c r="I41" s="26" t="e">
        <f t="shared" ref="I41:I42" si="19">SUM(E41:H41)</f>
        <v>#REF!</v>
      </c>
      <c r="J41" s="27" t="e">
        <f t="shared" ref="J41:J42" si="20">D41+I41</f>
        <v>#REF!</v>
      </c>
      <c r="K41" s="28">
        <f>IFERROR(D41/C41/365,0)</f>
        <v>0</v>
      </c>
      <c r="L41" s="28">
        <f>IFERROR(J41/C41/365,0)</f>
        <v>0</v>
      </c>
      <c r="N41" s="28">
        <f t="shared" si="18"/>
        <v>0</v>
      </c>
      <c r="P41" s="6" t="e">
        <f>SUMIF(#REF!,B39,#REF!)</f>
        <v>#REF!</v>
      </c>
      <c r="Q41" s="4" t="e">
        <f t="shared" ref="Q41:Q42" si="21">P41-D41-G41-H41</f>
        <v>#REF!</v>
      </c>
      <c r="S41" s="28" t="e">
        <f>COUNTIFS(#REF!,"Riverside",#REF!,"Yes")</f>
        <v>#REF!</v>
      </c>
    </row>
    <row r="42" spans="1:19" x14ac:dyDescent="0.35">
      <c r="A42" t="s">
        <v>46</v>
      </c>
      <c r="B42" s="21" t="s">
        <v>16</v>
      </c>
      <c r="C42" s="23">
        <v>24</v>
      </c>
      <c r="D42" s="34" t="e">
        <f>SUMIFS(#REF!,#REF!,B39,#REF!,"Expenditure")</f>
        <v>#REF!</v>
      </c>
      <c r="E42" s="25" t="e">
        <f>SUMIF(#REF!,B39,#REF!)+SUMIF(#REF!,B39,#REF!)</f>
        <v>#REF!</v>
      </c>
      <c r="F42" s="25" t="e">
        <f>SUMIF(#REF!,B39,#REF!)+SUMIF(#REF!,B39,#REF!)</f>
        <v>#REF!</v>
      </c>
      <c r="G42" s="25" t="e">
        <f>SUMIFS(#REF!,#REF!,"77602",#REF!,$B$39)</f>
        <v>#REF!</v>
      </c>
      <c r="H42" s="25" t="e">
        <f>SUMIFS(#REF!,#REF!,$B$39,#REF!,"Income")</f>
        <v>#REF!</v>
      </c>
      <c r="I42" s="26" t="e">
        <f t="shared" si="19"/>
        <v>#REF!</v>
      </c>
      <c r="J42" s="27" t="e">
        <f t="shared" si="20"/>
        <v>#REF!</v>
      </c>
      <c r="K42" s="28">
        <f>IFERROR(D42/C42/365,0)</f>
        <v>0</v>
      </c>
      <c r="L42" s="28">
        <f>IFERROR(J42/C42/365,0)</f>
        <v>0</v>
      </c>
      <c r="N42" s="28">
        <f t="shared" si="18"/>
        <v>0</v>
      </c>
      <c r="P42" s="6" t="e">
        <f>SUMIF(#REF!,B39,#REF!)</f>
        <v>#REF!</v>
      </c>
      <c r="Q42" s="4" t="e">
        <f t="shared" si="21"/>
        <v>#REF!</v>
      </c>
      <c r="S42" s="28" t="e">
        <f>COUNTIFS(#REF!,"Riverside",#REF!,"Yes")</f>
        <v>#REF!</v>
      </c>
    </row>
    <row r="44" spans="1:19" x14ac:dyDescent="0.35">
      <c r="B44" s="21" t="s">
        <v>30</v>
      </c>
    </row>
    <row r="45" spans="1:19" ht="60" x14ac:dyDescent="0.35">
      <c r="B45" s="20">
        <v>3251603</v>
      </c>
      <c r="C45" s="13" t="s">
        <v>41</v>
      </c>
      <c r="D45" s="32" t="s">
        <v>4</v>
      </c>
      <c r="E45" s="20" t="s">
        <v>5</v>
      </c>
      <c r="F45" s="20" t="s">
        <v>6</v>
      </c>
      <c r="G45" s="20" t="s">
        <v>7</v>
      </c>
      <c r="H45" s="20" t="s">
        <v>8</v>
      </c>
      <c r="I45" s="22" t="s">
        <v>9</v>
      </c>
      <c r="J45" s="20" t="s">
        <v>10</v>
      </c>
      <c r="K45" s="20" t="s">
        <v>11</v>
      </c>
      <c r="L45" s="20" t="s">
        <v>12</v>
      </c>
      <c r="N45" s="20" t="s">
        <v>12</v>
      </c>
      <c r="S45" s="20" t="s">
        <v>42</v>
      </c>
    </row>
    <row r="46" spans="1:19" x14ac:dyDescent="0.35">
      <c r="A46" t="s">
        <v>44</v>
      </c>
      <c r="B46" s="21" t="s">
        <v>14</v>
      </c>
      <c r="C46" s="23"/>
      <c r="D46" s="34" t="e">
        <f>SUMIFS(#REF!,#REF!,B45,#REF!,"Expenditure")</f>
        <v>#REF!</v>
      </c>
      <c r="E46" s="25" t="e">
        <f>SUMIF(#REF!,B45,#REF!)+SUMIF(#REF!,B45,#REF!)</f>
        <v>#REF!</v>
      </c>
      <c r="F46" s="25" t="e">
        <f>SUMIF(#REF!,$B$45,#REF!)+SUMIF(#REF!,$B$45,#REF!)</f>
        <v>#REF!</v>
      </c>
      <c r="G46" s="25" t="e">
        <f>SUMIFS(#REF!,#REF!,$B$45,#REF!,"NHS",#REF!,'Q7&amp;8 occupied unit cost v1 DNU'!A46)</f>
        <v>#REF!</v>
      </c>
      <c r="H46" s="25" t="e">
        <f>SUMIFS(#REF!,#REF!,$B$45,#REF!,"Other",#REF!,'Q7&amp;8 occupied unit cost v1 DNU'!A46)</f>
        <v>#REF!</v>
      </c>
      <c r="I46" s="26" t="e">
        <f>SUM(E46:H46)</f>
        <v>#REF!</v>
      </c>
      <c r="J46" s="27" t="e">
        <f>D46+I46</f>
        <v>#REF!</v>
      </c>
      <c r="K46" s="28">
        <f>IFERROR(D46/C46/365,0)</f>
        <v>0</v>
      </c>
      <c r="L46" s="28">
        <f>IFERROR(J46/C46/365,0)</f>
        <v>0</v>
      </c>
      <c r="N46" s="28">
        <f t="shared" ref="N46:N48" si="22">IFERROR((D46+G46+H46)/C46/365,0)</f>
        <v>0</v>
      </c>
      <c r="P46" s="6" t="e">
        <f>SUMIF(#REF!,$B$45,#REF!)</f>
        <v>#REF!</v>
      </c>
      <c r="Q46" s="4" t="e">
        <f>P46-D46-G46-H46</f>
        <v>#REF!</v>
      </c>
      <c r="S46" s="28" t="e">
        <f>COUNTIFS(#REF!,"Christian Head",#REF!,"Yes")</f>
        <v>#REF!</v>
      </c>
    </row>
    <row r="47" spans="1:19" x14ac:dyDescent="0.35">
      <c r="A47" t="s">
        <v>45</v>
      </c>
      <c r="B47" s="21" t="s">
        <v>15</v>
      </c>
      <c r="C47" s="23"/>
      <c r="D47" s="34" t="e">
        <f>SUMIFS(#REF!,#REF!,B45,#REF!,"Expenditure")</f>
        <v>#REF!</v>
      </c>
      <c r="E47" s="25" t="e">
        <f>SUMIF(#REF!,B45,#REF!)+SUMIF(#REF!,'Q7&amp;8 occupied unit cost v1 DNU'!B45,#REF!)</f>
        <v>#REF!</v>
      </c>
      <c r="F47" s="25" t="e">
        <f>SUMIF(#REF!,B45,#REF!)+SUMIF(#REF!,B45,#REF!)</f>
        <v>#REF!</v>
      </c>
      <c r="G47" s="25" t="e">
        <f>SUMIFS(#REF!,#REF!,$B$45,#REF!,"NHS",#REF!,'Q7&amp;8 occupied unit cost v1 DNU'!A47)</f>
        <v>#REF!</v>
      </c>
      <c r="H47" s="25" t="e">
        <f>SUMIFS(#REF!,#REF!,$B$45,#REF!,"Other",#REF!,'Q7&amp;8 occupied unit cost v1 DNU'!A47)</f>
        <v>#REF!</v>
      </c>
      <c r="I47" s="26" t="e">
        <f t="shared" ref="I47:I48" si="23">SUM(E47:H47)</f>
        <v>#REF!</v>
      </c>
      <c r="J47" s="27" t="e">
        <f t="shared" ref="J47:J48" si="24">D47+I47</f>
        <v>#REF!</v>
      </c>
      <c r="K47" s="28">
        <f>IFERROR(D47/C47/365,0)</f>
        <v>0</v>
      </c>
      <c r="L47" s="28">
        <f>IFERROR(J47/C47/365,0)</f>
        <v>0</v>
      </c>
      <c r="N47" s="28">
        <f t="shared" si="22"/>
        <v>0</v>
      </c>
      <c r="P47" s="6" t="e">
        <f>SUMIF(#REF!,B45,#REF!)</f>
        <v>#REF!</v>
      </c>
      <c r="Q47" s="4" t="e">
        <f t="shared" ref="Q47:Q48" si="25">P47-D47-G47-H47</f>
        <v>#REF!</v>
      </c>
      <c r="S47" s="28" t="e">
        <f>COUNTIFS(#REF!,"Christian Head",#REF!,"Yes")</f>
        <v>#REF!</v>
      </c>
    </row>
    <row r="48" spans="1:19" x14ac:dyDescent="0.35">
      <c r="A48" t="s">
        <v>46</v>
      </c>
      <c r="B48" s="21" t="s">
        <v>16</v>
      </c>
      <c r="C48" s="23">
        <v>16</v>
      </c>
      <c r="D48" s="34" t="e">
        <f>SUMIFS(#REF!,#REF!,B45,#REF!,"Expenditure")</f>
        <v>#REF!</v>
      </c>
      <c r="E48" s="25" t="e">
        <f>SUMIF(#REF!,B45,#REF!)+SUMIF(#REF!,B45,#REF!)</f>
        <v>#REF!</v>
      </c>
      <c r="F48" s="25" t="e">
        <f>SUMIF(#REF!,B45,#REF!)+SUMIF(#REF!,B45,#REF!)</f>
        <v>#REF!</v>
      </c>
      <c r="G48" s="25" t="e">
        <f>SUMIFS(#REF!,#REF!,"77602",#REF!,$B$45)</f>
        <v>#REF!</v>
      </c>
      <c r="H48" s="25" t="e">
        <f>SUMIFS(#REF!,#REF!,$B$45,#REF!,"Income")</f>
        <v>#REF!</v>
      </c>
      <c r="I48" s="26" t="e">
        <f t="shared" si="23"/>
        <v>#REF!</v>
      </c>
      <c r="J48" s="27" t="e">
        <f t="shared" si="24"/>
        <v>#REF!</v>
      </c>
      <c r="K48" s="28">
        <f>IFERROR(D48/C48/365,0)</f>
        <v>0</v>
      </c>
      <c r="L48" s="28">
        <f>IFERROR(J48/C48/365,0)</f>
        <v>0</v>
      </c>
      <c r="N48" s="28">
        <f t="shared" si="22"/>
        <v>0</v>
      </c>
      <c r="P48" s="6" t="e">
        <f>SUMIF(#REF!,B45,#REF!)</f>
        <v>#REF!</v>
      </c>
      <c r="Q48" s="4" t="e">
        <f t="shared" si="25"/>
        <v>#REF!</v>
      </c>
      <c r="S48" s="28" t="e">
        <f>COUNTIFS(#REF!,"Christian Head",#REF!,"Yes")</f>
        <v>#REF!</v>
      </c>
    </row>
    <row r="50" spans="1:19" x14ac:dyDescent="0.35">
      <c r="B50" s="21" t="s">
        <v>33</v>
      </c>
    </row>
    <row r="51" spans="1:19" ht="60" x14ac:dyDescent="0.35">
      <c r="B51" s="20">
        <v>3252203</v>
      </c>
      <c r="C51" s="13" t="s">
        <v>41</v>
      </c>
      <c r="D51" s="32" t="s">
        <v>4</v>
      </c>
      <c r="E51" s="20" t="s">
        <v>5</v>
      </c>
      <c r="F51" s="20" t="s">
        <v>6</v>
      </c>
      <c r="G51" s="20" t="s">
        <v>7</v>
      </c>
      <c r="H51" s="20" t="s">
        <v>8</v>
      </c>
      <c r="I51" s="22" t="s">
        <v>9</v>
      </c>
      <c r="J51" s="20" t="s">
        <v>10</v>
      </c>
      <c r="K51" s="20" t="s">
        <v>11</v>
      </c>
      <c r="L51" s="20" t="s">
        <v>12</v>
      </c>
      <c r="N51" s="20" t="s">
        <v>12</v>
      </c>
      <c r="S51" s="20" t="s">
        <v>42</v>
      </c>
    </row>
    <row r="52" spans="1:19" x14ac:dyDescent="0.35">
      <c r="A52" t="s">
        <v>44</v>
      </c>
      <c r="B52" s="21" t="s">
        <v>14</v>
      </c>
      <c r="C52" s="23"/>
      <c r="D52" s="34" t="e">
        <f>SUMIFS(#REF!,#REF!,B51,#REF!,"Expenditure")</f>
        <v>#REF!</v>
      </c>
      <c r="E52" s="25" t="e">
        <f>SUMIF(#REF!,B51,#REF!)+SUMIF(#REF!,B51,#REF!)</f>
        <v>#REF!</v>
      </c>
      <c r="F52" s="25" t="e">
        <f>SUMIF(#REF!,$B$51,#REF!)+SUMIF(#REF!,$B$51,#REF!)</f>
        <v>#REF!</v>
      </c>
      <c r="G52" s="25" t="e">
        <f>SUMIFS(#REF!,#REF!,$B$51,#REF!,"NHS",#REF!,'Q7&amp;8 occupied unit cost v1 DNU'!A52)</f>
        <v>#REF!</v>
      </c>
      <c r="H52" s="25" t="e">
        <f>SUMIFS(#REF!,#REF!,$B$51,#REF!,"Other",#REF!,'Q7&amp;8 occupied unit cost v1 DNU'!A52)</f>
        <v>#REF!</v>
      </c>
      <c r="I52" s="26" t="e">
        <f>SUM(E52:H52)</f>
        <v>#REF!</v>
      </c>
      <c r="J52" s="27" t="e">
        <f>D52+I52</f>
        <v>#REF!</v>
      </c>
      <c r="K52" s="28">
        <f>IFERROR(D52/C52/365,0)</f>
        <v>0</v>
      </c>
      <c r="L52" s="28">
        <f>IFERROR(J52/C52/365,0)</f>
        <v>0</v>
      </c>
      <c r="N52" s="28">
        <f t="shared" ref="N52:N54" si="26">IFERROR((D52+G52+H52)/C52/365,0)</f>
        <v>0</v>
      </c>
      <c r="P52" s="6" t="e">
        <f>SUMIF(#REF!,$B$51,#REF!)</f>
        <v>#REF!</v>
      </c>
      <c r="Q52" s="4" t="e">
        <f>P52-D52-G52-H52</f>
        <v>#REF!</v>
      </c>
      <c r="S52" s="28" t="e">
        <f>COUNTIFS(#REF!,"Elmhurst",#REF!,"Yes")</f>
        <v>#REF!</v>
      </c>
    </row>
    <row r="53" spans="1:19" x14ac:dyDescent="0.35">
      <c r="A53" t="s">
        <v>45</v>
      </c>
      <c r="B53" s="21" t="s">
        <v>15</v>
      </c>
      <c r="C53" s="23"/>
      <c r="D53" s="34" t="e">
        <f>SUMIFS(#REF!,#REF!,B51,#REF!,"Expenditure")</f>
        <v>#REF!</v>
      </c>
      <c r="E53" s="25" t="e">
        <f>SUMIF(#REF!,B51,#REF!)+SUMIF(#REF!,'Q7&amp;8 occupied unit cost v1 DNU'!B51,#REF!)</f>
        <v>#REF!</v>
      </c>
      <c r="F53" s="25" t="e">
        <f>SUMIF(#REF!,B51,#REF!)+SUMIF(#REF!,B51,#REF!)</f>
        <v>#REF!</v>
      </c>
      <c r="G53" s="25" t="e">
        <f>SUMIFS(#REF!,#REF!,$B$51,#REF!,"NHS",#REF!,'Q7&amp;8 occupied unit cost v1 DNU'!A53)</f>
        <v>#REF!</v>
      </c>
      <c r="H53" s="25" t="e">
        <f>SUMIFS(#REF!,#REF!,$B$51,#REF!,"Other",#REF!,'Q7&amp;8 occupied unit cost v1 DNU'!A53)</f>
        <v>#REF!</v>
      </c>
      <c r="I53" s="26" t="e">
        <f t="shared" ref="I53:I54" si="27">SUM(E53:H53)</f>
        <v>#REF!</v>
      </c>
      <c r="J53" s="27" t="e">
        <f t="shared" ref="J53:J54" si="28">D53+I53</f>
        <v>#REF!</v>
      </c>
      <c r="K53" s="28">
        <f>IFERROR(D53/C53/365,0)</f>
        <v>0</v>
      </c>
      <c r="L53" s="28">
        <f>IFERROR(J53/C53/365,0)</f>
        <v>0</v>
      </c>
      <c r="N53" s="28">
        <f t="shared" si="26"/>
        <v>0</v>
      </c>
      <c r="P53" s="6" t="e">
        <f>SUMIF(#REF!,B51,#REF!)</f>
        <v>#REF!</v>
      </c>
      <c r="Q53" s="4" t="e">
        <f t="shared" ref="Q53:Q54" si="29">P53-D53-G53-H53</f>
        <v>#REF!</v>
      </c>
      <c r="S53" s="28" t="e">
        <f>COUNTIFS(#REF!,"Elmhurst",#REF!,"Yes")</f>
        <v>#REF!</v>
      </c>
    </row>
    <row r="54" spans="1:19" x14ac:dyDescent="0.35">
      <c r="A54" t="s">
        <v>46</v>
      </c>
      <c r="B54" s="21" t="s">
        <v>16</v>
      </c>
      <c r="C54" s="23">
        <v>33</v>
      </c>
      <c r="D54" s="34" t="e">
        <f>SUMIFS(#REF!,#REF!,B51,#REF!,"Expenditure")</f>
        <v>#REF!</v>
      </c>
      <c r="E54" s="25" t="e">
        <f>SUMIF(#REF!,B51,#REF!)+SUMIF(#REF!,B51,#REF!)</f>
        <v>#REF!</v>
      </c>
      <c r="F54" s="25" t="e">
        <f>SUMIF(#REF!,B51,#REF!)+SUMIF(#REF!,B51,#REF!)</f>
        <v>#REF!</v>
      </c>
      <c r="G54" s="25" t="e">
        <f>SUMIFS(#REF!,#REF!,"77602",#REF!,$B$51)</f>
        <v>#REF!</v>
      </c>
      <c r="H54" s="25" t="e">
        <f>SUMIFS(#REF!,#REF!,$B$51,#REF!,"Income")</f>
        <v>#REF!</v>
      </c>
      <c r="I54" s="26" t="e">
        <f t="shared" si="27"/>
        <v>#REF!</v>
      </c>
      <c r="J54" s="27" t="e">
        <f t="shared" si="28"/>
        <v>#REF!</v>
      </c>
      <c r="K54" s="28">
        <f>IFERROR(D54/C54/365,0)</f>
        <v>0</v>
      </c>
      <c r="L54" s="28">
        <f>IFERROR(J54/C54/365,0)</f>
        <v>0</v>
      </c>
      <c r="N54" s="28">
        <f t="shared" si="26"/>
        <v>0</v>
      </c>
      <c r="P54" s="6" t="e">
        <f>SUMIF(#REF!,B51,#REF!)</f>
        <v>#REF!</v>
      </c>
      <c r="Q54" s="4" t="e">
        <f t="shared" si="29"/>
        <v>#REF!</v>
      </c>
      <c r="S54" s="28" t="e">
        <f>COUNTIFS(#REF!,"Elmhurst",#REF!,"Yes")</f>
        <v>#REF!</v>
      </c>
    </row>
    <row r="56" spans="1:19" x14ac:dyDescent="0.35">
      <c r="B56" s="21" t="s">
        <v>36</v>
      </c>
    </row>
    <row r="57" spans="1:19" ht="60" x14ac:dyDescent="0.35">
      <c r="B57" s="20">
        <v>3254403</v>
      </c>
      <c r="C57" s="13" t="s">
        <v>41</v>
      </c>
      <c r="D57" s="32" t="s">
        <v>4</v>
      </c>
      <c r="E57" s="20" t="s">
        <v>5</v>
      </c>
      <c r="F57" s="20" t="s">
        <v>6</v>
      </c>
      <c r="G57" s="20" t="s">
        <v>7</v>
      </c>
      <c r="H57" s="20" t="s">
        <v>8</v>
      </c>
      <c r="I57" s="22" t="s">
        <v>9</v>
      </c>
      <c r="J57" s="20" t="s">
        <v>10</v>
      </c>
      <c r="K57" s="20" t="s">
        <v>11</v>
      </c>
      <c r="L57" s="20" t="s">
        <v>12</v>
      </c>
      <c r="N57" s="20" t="s">
        <v>12</v>
      </c>
      <c r="S57" s="20" t="s">
        <v>42</v>
      </c>
    </row>
    <row r="58" spans="1:19" x14ac:dyDescent="0.35">
      <c r="A58" t="s">
        <v>44</v>
      </c>
      <c r="B58" s="21" t="s">
        <v>14</v>
      </c>
      <c r="C58" s="23"/>
      <c r="D58" s="34" t="e">
        <f>SUMIFS(#REF!,#REF!,B57,#REF!,"Expenditure")</f>
        <v>#REF!</v>
      </c>
      <c r="E58" s="25" t="e">
        <f>SUMIF(#REF!,B57,#REF!)+SUMIF(#REF!,B57,#REF!)</f>
        <v>#REF!</v>
      </c>
      <c r="F58" s="25" t="e">
        <f>SUMIF(#REF!,$B$57,#REF!)+SUMIF(#REF!,$B$57,#REF!)</f>
        <v>#REF!</v>
      </c>
      <c r="G58" s="25" t="e">
        <f>SUMIFS(#REF!,#REF!,$B$57,#REF!,"NHS",#REF!,'Q7&amp;8 occupied unit cost v1 DNU'!A58)</f>
        <v>#REF!</v>
      </c>
      <c r="H58" s="25" t="e">
        <f>SUMIFS(#REF!,#REF!,$B$57,#REF!,"Other",#REF!,'Q7&amp;8 occupied unit cost v1 DNU'!A58)</f>
        <v>#REF!</v>
      </c>
      <c r="I58" s="26" t="e">
        <f>SUM(E58:H58)</f>
        <v>#REF!</v>
      </c>
      <c r="J58" s="27" t="e">
        <f>D58+I58</f>
        <v>#REF!</v>
      </c>
      <c r="K58" s="28">
        <f>IFERROR(D58/C58/365,0)</f>
        <v>0</v>
      </c>
      <c r="L58" s="28">
        <f>IFERROR(J58/C58/365,0)</f>
        <v>0</v>
      </c>
      <c r="N58" s="28">
        <f t="shared" ref="N58:N60" si="30">IFERROR((D58+G58+H58)/C58/365,0)</f>
        <v>0</v>
      </c>
      <c r="P58" s="6" t="e">
        <f>SUMIF(#REF!,$B$57,#REF!)</f>
        <v>#REF!</v>
      </c>
      <c r="Q58" s="4" t="e">
        <f>P58-D58-G58-H58</f>
        <v>#REF!</v>
      </c>
      <c r="S58" s="28" t="e">
        <f>COUNTIFS(#REF!,"Parkview Gardens",#REF!,"Yes")</f>
        <v>#REF!</v>
      </c>
    </row>
    <row r="59" spans="1:19" x14ac:dyDescent="0.35">
      <c r="A59" t="s">
        <v>45</v>
      </c>
      <c r="B59" s="21" t="s">
        <v>15</v>
      </c>
      <c r="C59" s="23"/>
      <c r="D59" s="34" t="e">
        <f>SUMIFS(#REF!,#REF!,B57,#REF!,"Expenditure")</f>
        <v>#REF!</v>
      </c>
      <c r="E59" s="25" t="e">
        <f>SUMIF(#REF!,B57,#REF!)+SUMIF(#REF!,'Q7&amp;8 occupied unit cost v1 DNU'!B57,#REF!)</f>
        <v>#REF!</v>
      </c>
      <c r="F59" s="25" t="e">
        <f>SUMIF(#REF!,B57,#REF!)+SUMIF(#REF!,B57,#REF!)</f>
        <v>#REF!</v>
      </c>
      <c r="G59" s="25" t="e">
        <f>SUMIFS(#REF!,#REF!,$B$57,#REF!,"NHS",#REF!,'Q7&amp;8 occupied unit cost v1 DNU'!A59)</f>
        <v>#REF!</v>
      </c>
      <c r="H59" s="25" t="e">
        <f>SUMIFS(#REF!,#REF!,$B$57,#REF!,"Other",#REF!,'Q7&amp;8 occupied unit cost v1 DNU'!A59)</f>
        <v>#REF!</v>
      </c>
      <c r="I59" s="26" t="e">
        <f t="shared" ref="I59:I60" si="31">SUM(E59:H59)</f>
        <v>#REF!</v>
      </c>
      <c r="J59" s="27" t="e">
        <f t="shared" ref="J59:J60" si="32">D59+I59</f>
        <v>#REF!</v>
      </c>
      <c r="K59" s="28">
        <f>IFERROR(D59/C59/365,0)</f>
        <v>0</v>
      </c>
      <c r="L59" s="28">
        <f>IFERROR(J59/C59/365,0)</f>
        <v>0</v>
      </c>
      <c r="N59" s="28">
        <f t="shared" si="30"/>
        <v>0</v>
      </c>
      <c r="P59" s="6" t="e">
        <f>SUMIF(#REF!,B57,#REF!)</f>
        <v>#REF!</v>
      </c>
      <c r="Q59" s="4" t="e">
        <f t="shared" ref="Q59:Q60" si="33">P59-D59-G59-H59</f>
        <v>#REF!</v>
      </c>
      <c r="S59" s="28" t="e">
        <f>COUNTIFS(#REF!,"Parkview Gardens",#REF!,"Yes")</f>
        <v>#REF!</v>
      </c>
    </row>
    <row r="60" spans="1:19" x14ac:dyDescent="0.35">
      <c r="A60" t="s">
        <v>46</v>
      </c>
      <c r="B60" s="21" t="s">
        <v>16</v>
      </c>
      <c r="C60" s="23">
        <v>50</v>
      </c>
      <c r="D60" s="34" t="e">
        <f>SUMIFS(#REF!,#REF!,B57,#REF!,"Expenditure")</f>
        <v>#REF!</v>
      </c>
      <c r="E60" s="25" t="e">
        <f>SUMIF(#REF!,B57,#REF!)+SUMIF(#REF!,B57,#REF!)</f>
        <v>#REF!</v>
      </c>
      <c r="F60" s="25" t="e">
        <f>SUMIF(#REF!,B57,#REF!)+SUMIF(#REF!,B57,#REF!)</f>
        <v>#REF!</v>
      </c>
      <c r="G60" s="25" t="e">
        <f>SUMIFS(#REF!,#REF!,$B$57,#REF!,"NHS",#REF!,'Q7&amp;8 occupied unit cost v1 DNU'!A60)</f>
        <v>#REF!</v>
      </c>
      <c r="H60" s="25" t="e">
        <f>SUMIFS(#REF!,#REF!,$B$57,#REF!,"Other",#REF!,'Q7&amp;8 occupied unit cost v1 DNU'!A60)</f>
        <v>#REF!</v>
      </c>
      <c r="I60" s="26" t="e">
        <f t="shared" si="31"/>
        <v>#REF!</v>
      </c>
      <c r="J60" s="27" t="e">
        <f t="shared" si="32"/>
        <v>#REF!</v>
      </c>
      <c r="K60" s="28">
        <f>IFERROR(D60/C60/365,0)</f>
        <v>0</v>
      </c>
      <c r="L60" s="28">
        <f>IFERROR(J60/C60/365,0)</f>
        <v>0</v>
      </c>
      <c r="N60" s="28">
        <f t="shared" si="30"/>
        <v>0</v>
      </c>
      <c r="P60" s="6" t="e">
        <f>SUMIF(#REF!,B57,#REF!)</f>
        <v>#REF!</v>
      </c>
      <c r="Q60" s="4" t="e">
        <f t="shared" si="33"/>
        <v>#REF!</v>
      </c>
      <c r="S60" s="28" t="e">
        <f>COUNTIFS(#REF!,"Parkview Gardens",#REF!,"Yes")</f>
        <v>#REF!</v>
      </c>
    </row>
  </sheetData>
  <mergeCells count="1">
    <mergeCell ref="B2: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871A-35FB-48EB-88D0-CE270DDD5601}">
  <sheetPr>
    <tabColor rgb="FFFF66CC"/>
  </sheetPr>
  <dimension ref="A1:J40"/>
  <sheetViews>
    <sheetView showGridLines="0" tabSelected="1" zoomScale="136" zoomScaleNormal="136" workbookViewId="0"/>
  </sheetViews>
  <sheetFormatPr defaultColWidth="8.7265625" defaultRowHeight="12" x14ac:dyDescent="0.3"/>
  <cols>
    <col min="1" max="1" width="21.81640625" style="14" customWidth="1"/>
    <col min="2" max="2" width="14.54296875" style="14" bestFit="1" customWidth="1"/>
    <col min="3" max="3" width="10.453125" style="15" customWidth="1"/>
    <col min="4" max="9" width="10.453125" style="14" customWidth="1"/>
    <col min="10" max="10" width="10.36328125" style="14" bestFit="1" customWidth="1"/>
    <col min="11" max="16384" width="8.7265625" style="14"/>
  </cols>
  <sheetData>
    <row r="1" spans="1:10" x14ac:dyDescent="0.3">
      <c r="A1" s="16"/>
      <c r="B1" s="16"/>
      <c r="I1" s="41"/>
      <c r="J1" s="17"/>
    </row>
    <row r="2" spans="1:10" ht="84" x14ac:dyDescent="0.3">
      <c r="A2" s="13" t="s">
        <v>56</v>
      </c>
      <c r="B2" s="13" t="s">
        <v>41</v>
      </c>
      <c r="C2" s="36" t="s">
        <v>4</v>
      </c>
      <c r="D2" s="13" t="s">
        <v>7</v>
      </c>
      <c r="E2" s="13" t="s">
        <v>8</v>
      </c>
      <c r="F2" s="13" t="s">
        <v>47</v>
      </c>
      <c r="G2" s="13" t="s">
        <v>48</v>
      </c>
      <c r="H2" s="13" t="s">
        <v>49</v>
      </c>
      <c r="I2" s="42" t="s">
        <v>59</v>
      </c>
      <c r="J2" s="13" t="s">
        <v>50</v>
      </c>
    </row>
    <row r="3" spans="1:10" x14ac:dyDescent="0.3">
      <c r="A3" s="35" t="s">
        <v>14</v>
      </c>
      <c r="B3" s="40">
        <v>8</v>
      </c>
      <c r="C3" s="37">
        <v>934804.26999999979</v>
      </c>
      <c r="D3" s="38">
        <v>-25305.31</v>
      </c>
      <c r="E3" s="38">
        <v>-35401.68</v>
      </c>
      <c r="F3" s="19">
        <v>-60706.990000000005</v>
      </c>
      <c r="G3" s="39">
        <v>874097.2799999998</v>
      </c>
      <c r="H3" s="18">
        <v>299.34838356164374</v>
      </c>
      <c r="I3" s="43">
        <v>349.33956361643828</v>
      </c>
      <c r="J3" s="19">
        <v>-100356.01010000001</v>
      </c>
    </row>
    <row r="4" spans="1:10" x14ac:dyDescent="0.3">
      <c r="A4" s="35" t="s">
        <v>15</v>
      </c>
      <c r="B4" s="40">
        <v>5</v>
      </c>
      <c r="C4" s="37">
        <v>952362.97000000009</v>
      </c>
      <c r="D4" s="38">
        <v>-6462.6899999999987</v>
      </c>
      <c r="E4" s="38">
        <v>0</v>
      </c>
      <c r="F4" s="19">
        <v>-6462.6899999999987</v>
      </c>
      <c r="G4" s="39">
        <v>945900.28000000014</v>
      </c>
      <c r="H4" s="18">
        <v>518.30152328767133</v>
      </c>
      <c r="I4" s="43">
        <v>604.85787767671241</v>
      </c>
      <c r="J4" s="19">
        <v>-150242.42439999999</v>
      </c>
    </row>
    <row r="5" spans="1:10" x14ac:dyDescent="0.3">
      <c r="A5" s="35" t="s">
        <v>16</v>
      </c>
      <c r="B5" s="40">
        <v>5</v>
      </c>
      <c r="C5" s="37">
        <v>910616.21000000008</v>
      </c>
      <c r="D5" s="38">
        <v>0</v>
      </c>
      <c r="E5" s="38">
        <v>-947</v>
      </c>
      <c r="F5" s="19">
        <v>-947</v>
      </c>
      <c r="G5" s="39">
        <v>909669.21000000008</v>
      </c>
      <c r="H5" s="18">
        <v>498.44888219178085</v>
      </c>
      <c r="I5" s="43">
        <v>581.68984551780829</v>
      </c>
      <c r="J5" s="19">
        <v>-103714.3386</v>
      </c>
    </row>
    <row r="6" spans="1:10" x14ac:dyDescent="0.3">
      <c r="I6" s="44"/>
    </row>
    <row r="7" spans="1:10" ht="84" x14ac:dyDescent="0.3">
      <c r="A7" s="13" t="s">
        <v>51</v>
      </c>
      <c r="B7" s="13" t="s">
        <v>41</v>
      </c>
      <c r="C7" s="36" t="s">
        <v>4</v>
      </c>
      <c r="D7" s="13" t="s">
        <v>7</v>
      </c>
      <c r="E7" s="13" t="s">
        <v>8</v>
      </c>
      <c r="F7" s="13" t="s">
        <v>47</v>
      </c>
      <c r="G7" s="13" t="s">
        <v>48</v>
      </c>
      <c r="H7" s="13" t="s">
        <v>49</v>
      </c>
      <c r="I7" s="42" t="s">
        <v>59</v>
      </c>
      <c r="J7" s="13" t="s">
        <v>50</v>
      </c>
    </row>
    <row r="8" spans="1:10" x14ac:dyDescent="0.3">
      <c r="A8" s="35" t="s">
        <v>14</v>
      </c>
      <c r="B8" s="45">
        <v>14</v>
      </c>
      <c r="C8" s="37">
        <v>1355825.15</v>
      </c>
      <c r="D8" s="38">
        <v>0</v>
      </c>
      <c r="E8" s="38">
        <v>-47348.38</v>
      </c>
      <c r="F8" s="19">
        <v>-47348.38</v>
      </c>
      <c r="G8" s="39">
        <v>1308476.77</v>
      </c>
      <c r="H8" s="18">
        <v>256.06199021526419</v>
      </c>
      <c r="I8" s="43">
        <v>298.82434258121333</v>
      </c>
      <c r="J8" s="19">
        <v>-268818.91849999997</v>
      </c>
    </row>
    <row r="9" spans="1:10" x14ac:dyDescent="0.3">
      <c r="A9" s="35" t="s">
        <v>15</v>
      </c>
      <c r="B9" s="45">
        <v>15</v>
      </c>
      <c r="C9" s="37">
        <v>1560504.91</v>
      </c>
      <c r="D9" s="38">
        <v>0</v>
      </c>
      <c r="E9" s="38">
        <v>0</v>
      </c>
      <c r="F9" s="19">
        <v>0</v>
      </c>
      <c r="G9" s="39">
        <v>1560504.91</v>
      </c>
      <c r="H9" s="18">
        <v>285.02372785388127</v>
      </c>
      <c r="I9" s="43">
        <v>332.62269040547943</v>
      </c>
      <c r="J9" s="19">
        <v>-323647.66710000002</v>
      </c>
    </row>
    <row r="10" spans="1:10" x14ac:dyDescent="0.3">
      <c r="A10" s="35" t="s">
        <v>16</v>
      </c>
      <c r="B10" s="45">
        <v>15</v>
      </c>
      <c r="C10" s="37">
        <v>1551142.5800000005</v>
      </c>
      <c r="D10" s="38">
        <v>0</v>
      </c>
      <c r="E10" s="38">
        <v>0</v>
      </c>
      <c r="F10" s="19">
        <v>0</v>
      </c>
      <c r="G10" s="39">
        <v>1551142.5800000005</v>
      </c>
      <c r="H10" s="18">
        <v>283.31371324200921</v>
      </c>
      <c r="I10" s="43">
        <v>330.62710335342479</v>
      </c>
      <c r="J10" s="19">
        <v>-438891.28020000004</v>
      </c>
    </row>
    <row r="12" spans="1:10" ht="84" x14ac:dyDescent="0.3">
      <c r="A12" s="13" t="s">
        <v>52</v>
      </c>
      <c r="B12" s="13" t="s">
        <v>41</v>
      </c>
      <c r="C12" s="36" t="s">
        <v>4</v>
      </c>
      <c r="D12" s="13" t="s">
        <v>7</v>
      </c>
      <c r="E12" s="13" t="s">
        <v>8</v>
      </c>
      <c r="F12" s="13" t="s">
        <v>47</v>
      </c>
      <c r="G12" s="13" t="s">
        <v>48</v>
      </c>
      <c r="H12" s="13" t="s">
        <v>49</v>
      </c>
      <c r="I12" s="42" t="s">
        <v>59</v>
      </c>
      <c r="J12" s="13" t="s">
        <v>50</v>
      </c>
    </row>
    <row r="13" spans="1:10" x14ac:dyDescent="0.3">
      <c r="A13" s="35" t="s">
        <v>14</v>
      </c>
      <c r="B13" s="45">
        <v>27</v>
      </c>
      <c r="C13" s="37">
        <v>1847097.0000000002</v>
      </c>
      <c r="D13" s="38">
        <v>0</v>
      </c>
      <c r="E13" s="38">
        <v>-57331.11</v>
      </c>
      <c r="F13" s="19">
        <v>-57331.11</v>
      </c>
      <c r="G13" s="39">
        <v>1789765.8900000001</v>
      </c>
      <c r="H13" s="18">
        <v>181.60993302891933</v>
      </c>
      <c r="I13" s="43">
        <v>211.93879184474886</v>
      </c>
      <c r="J13" s="19">
        <v>-815459.33979999996</v>
      </c>
    </row>
    <row r="14" spans="1:10" x14ac:dyDescent="0.3">
      <c r="A14" s="35" t="s">
        <v>15</v>
      </c>
      <c r="B14" s="45">
        <v>35</v>
      </c>
      <c r="C14" s="37">
        <v>1931560.43</v>
      </c>
      <c r="D14" s="38">
        <v>0</v>
      </c>
      <c r="E14" s="38">
        <v>-164.03</v>
      </c>
      <c r="F14" s="19">
        <v>-164.03</v>
      </c>
      <c r="G14" s="39">
        <v>1931396.4</v>
      </c>
      <c r="H14" s="18">
        <v>151.18562818003915</v>
      </c>
      <c r="I14" s="43">
        <v>176.4336280861057</v>
      </c>
      <c r="J14" s="19">
        <v>-791550.69799999997</v>
      </c>
    </row>
    <row r="15" spans="1:10" x14ac:dyDescent="0.3">
      <c r="A15" s="35" t="s">
        <v>16</v>
      </c>
      <c r="B15" s="45">
        <v>30</v>
      </c>
      <c r="C15" s="37">
        <v>2035452.8233</v>
      </c>
      <c r="D15" s="38">
        <v>0</v>
      </c>
      <c r="E15" s="38">
        <v>320</v>
      </c>
      <c r="F15" s="19">
        <v>320</v>
      </c>
      <c r="G15" s="39">
        <v>2035772.8233</v>
      </c>
      <c r="H15" s="18">
        <v>185.91532632876715</v>
      </c>
      <c r="I15" s="43">
        <v>216.96318582567127</v>
      </c>
      <c r="J15" s="19">
        <v>-788255.63879999984</v>
      </c>
    </row>
    <row r="17" spans="1:10" ht="84" x14ac:dyDescent="0.3">
      <c r="A17" s="13" t="s">
        <v>54</v>
      </c>
      <c r="B17" s="13" t="s">
        <v>41</v>
      </c>
      <c r="C17" s="36" t="s">
        <v>4</v>
      </c>
      <c r="D17" s="13" t="s">
        <v>7</v>
      </c>
      <c r="E17" s="13" t="s">
        <v>8</v>
      </c>
      <c r="F17" s="13" t="s">
        <v>47</v>
      </c>
      <c r="G17" s="13" t="s">
        <v>48</v>
      </c>
      <c r="H17" s="13" t="s">
        <v>49</v>
      </c>
      <c r="I17" s="42" t="s">
        <v>59</v>
      </c>
      <c r="J17" s="13" t="s">
        <v>50</v>
      </c>
    </row>
    <row r="18" spans="1:10" x14ac:dyDescent="0.3">
      <c r="A18" s="35" t="s">
        <v>14</v>
      </c>
      <c r="B18" s="45">
        <v>30</v>
      </c>
      <c r="C18" s="37">
        <v>1465953.85</v>
      </c>
      <c r="D18" s="38">
        <v>0</v>
      </c>
      <c r="E18" s="38">
        <v>-47820.34</v>
      </c>
      <c r="F18" s="19">
        <v>-47820.34</v>
      </c>
      <c r="G18" s="39">
        <v>1418133.51</v>
      </c>
      <c r="H18" s="18">
        <v>129.50990958904109</v>
      </c>
      <c r="I18" s="43">
        <v>151.13806449041095</v>
      </c>
      <c r="J18" s="19">
        <v>-529615.08880000003</v>
      </c>
    </row>
    <row r="19" spans="1:10" x14ac:dyDescent="0.3">
      <c r="A19" s="35" t="s">
        <v>15</v>
      </c>
      <c r="B19" s="45">
        <v>26</v>
      </c>
      <c r="C19" s="37">
        <v>1647176.7800000003</v>
      </c>
      <c r="D19" s="38">
        <v>0</v>
      </c>
      <c r="E19" s="38">
        <v>0</v>
      </c>
      <c r="F19" s="19">
        <v>0</v>
      </c>
      <c r="G19" s="39">
        <v>1647176.7800000003</v>
      </c>
      <c r="H19" s="18">
        <v>173.56973445732351</v>
      </c>
      <c r="I19" s="43">
        <v>202.55588011169652</v>
      </c>
      <c r="J19" s="19">
        <v>-648702.07720000006</v>
      </c>
    </row>
    <row r="20" spans="1:10" x14ac:dyDescent="0.3">
      <c r="A20" s="35" t="s">
        <v>16</v>
      </c>
      <c r="B20" s="45">
        <v>22</v>
      </c>
      <c r="C20" s="37">
        <v>1848102.5510999998</v>
      </c>
      <c r="D20" s="38">
        <v>0</v>
      </c>
      <c r="E20" s="38">
        <v>-1893.71</v>
      </c>
      <c r="F20" s="19">
        <v>-1893.71</v>
      </c>
      <c r="G20" s="39">
        <v>1846208.8410999998</v>
      </c>
      <c r="H20" s="18">
        <v>229.91392790784559</v>
      </c>
      <c r="I20" s="43">
        <v>268.30955386845579</v>
      </c>
      <c r="J20" s="19">
        <v>-531113.95130000007</v>
      </c>
    </row>
    <row r="22" spans="1:10" ht="84" x14ac:dyDescent="0.3">
      <c r="A22" s="13" t="s">
        <v>57</v>
      </c>
      <c r="B22" s="13" t="s">
        <v>41</v>
      </c>
      <c r="C22" s="36" t="s">
        <v>4</v>
      </c>
      <c r="D22" s="13" t="s">
        <v>7</v>
      </c>
      <c r="E22" s="13" t="s">
        <v>8</v>
      </c>
      <c r="F22" s="13" t="s">
        <v>47</v>
      </c>
      <c r="G22" s="13" t="s">
        <v>48</v>
      </c>
      <c r="H22" s="13" t="s">
        <v>49</v>
      </c>
      <c r="I22" s="42" t="s">
        <v>59</v>
      </c>
      <c r="J22" s="13" t="s">
        <v>50</v>
      </c>
    </row>
    <row r="23" spans="1:10" x14ac:dyDescent="0.3">
      <c r="A23" s="35" t="s">
        <v>14</v>
      </c>
      <c r="B23" s="45">
        <v>26</v>
      </c>
      <c r="C23" s="37">
        <v>1582392.07</v>
      </c>
      <c r="D23" s="38">
        <v>0</v>
      </c>
      <c r="E23" s="38">
        <v>-62643.06</v>
      </c>
      <c r="F23" s="19">
        <v>-62643.06</v>
      </c>
      <c r="G23" s="39">
        <v>1519749.01</v>
      </c>
      <c r="H23" s="18">
        <v>160.14215068493152</v>
      </c>
      <c r="I23" s="43">
        <v>186.88588984931511</v>
      </c>
      <c r="J23" s="19">
        <v>-438951.71519999998</v>
      </c>
    </row>
    <row r="24" spans="1:10" x14ac:dyDescent="0.3">
      <c r="A24" s="35" t="s">
        <v>15</v>
      </c>
      <c r="B24" s="45">
        <v>26</v>
      </c>
      <c r="C24" s="37">
        <v>1784578.2200000009</v>
      </c>
      <c r="D24" s="38">
        <v>0</v>
      </c>
      <c r="E24" s="38">
        <v>0</v>
      </c>
      <c r="F24" s="19">
        <v>0</v>
      </c>
      <c r="G24" s="39">
        <v>1784578.2200000009</v>
      </c>
      <c r="H24" s="18">
        <v>188.0482845100106</v>
      </c>
      <c r="I24" s="43">
        <v>219.45234802318237</v>
      </c>
      <c r="J24" s="19">
        <v>-467499.69710000011</v>
      </c>
    </row>
    <row r="25" spans="1:10" x14ac:dyDescent="0.3">
      <c r="A25" s="35" t="s">
        <v>16</v>
      </c>
      <c r="B25" s="45">
        <v>24</v>
      </c>
      <c r="C25" s="37">
        <v>1863598.1899999997</v>
      </c>
      <c r="D25" s="38">
        <v>0</v>
      </c>
      <c r="E25" s="38">
        <v>0</v>
      </c>
      <c r="F25" s="19">
        <v>0</v>
      </c>
      <c r="G25" s="39">
        <v>1863598.1899999997</v>
      </c>
      <c r="H25" s="18">
        <v>212.73951940639267</v>
      </c>
      <c r="I25" s="43">
        <v>248.26701914726027</v>
      </c>
      <c r="J25" s="19">
        <v>-581130.55890000006</v>
      </c>
    </row>
    <row r="27" spans="1:10" ht="84" x14ac:dyDescent="0.3">
      <c r="A27" s="13" t="s">
        <v>53</v>
      </c>
      <c r="B27" s="13" t="s">
        <v>41</v>
      </c>
      <c r="C27" s="36" t="s">
        <v>4</v>
      </c>
      <c r="D27" s="13" t="s">
        <v>7</v>
      </c>
      <c r="E27" s="13" t="s">
        <v>8</v>
      </c>
      <c r="F27" s="13" t="s">
        <v>47</v>
      </c>
      <c r="G27" s="13" t="s">
        <v>48</v>
      </c>
      <c r="H27" s="13" t="s">
        <v>49</v>
      </c>
      <c r="I27" s="42" t="s">
        <v>59</v>
      </c>
      <c r="J27" s="13" t="s">
        <v>50</v>
      </c>
    </row>
    <row r="28" spans="1:10" x14ac:dyDescent="0.3">
      <c r="A28" s="35" t="s">
        <v>14</v>
      </c>
      <c r="B28" s="45">
        <v>16</v>
      </c>
      <c r="C28" s="37">
        <v>1122796.5199999998</v>
      </c>
      <c r="D28" s="38">
        <v>0</v>
      </c>
      <c r="E28" s="38">
        <v>-51558.400000000001</v>
      </c>
      <c r="F28" s="19">
        <v>-51558.400000000001</v>
      </c>
      <c r="G28" s="39">
        <v>1071238.1199999999</v>
      </c>
      <c r="H28" s="18">
        <v>183.43118493150683</v>
      </c>
      <c r="I28" s="43">
        <v>214.06419281506848</v>
      </c>
      <c r="J28" s="19">
        <v>-321433.09719999996</v>
      </c>
    </row>
    <row r="29" spans="1:10" x14ac:dyDescent="0.3">
      <c r="A29" s="35" t="s">
        <v>15</v>
      </c>
      <c r="B29" s="45">
        <v>16</v>
      </c>
      <c r="C29" s="37">
        <v>1372810.62</v>
      </c>
      <c r="D29" s="38">
        <v>0</v>
      </c>
      <c r="E29" s="38">
        <v>0</v>
      </c>
      <c r="F29" s="19">
        <v>0</v>
      </c>
      <c r="G29" s="39">
        <v>1372810.62</v>
      </c>
      <c r="H29" s="18">
        <v>235.07031164383562</v>
      </c>
      <c r="I29" s="43">
        <v>274.32705368835616</v>
      </c>
      <c r="J29" s="19">
        <v>-431883.46990000003</v>
      </c>
    </row>
    <row r="30" spans="1:10" x14ac:dyDescent="0.3">
      <c r="A30" s="35" t="s">
        <v>16</v>
      </c>
      <c r="B30" s="45">
        <v>16</v>
      </c>
      <c r="C30" s="37">
        <v>1263985.01</v>
      </c>
      <c r="D30" s="38">
        <v>0</v>
      </c>
      <c r="E30" s="38">
        <v>0</v>
      </c>
      <c r="F30" s="19">
        <v>0</v>
      </c>
      <c r="G30" s="39">
        <v>1263985.01</v>
      </c>
      <c r="H30" s="18">
        <v>216.43578938356166</v>
      </c>
      <c r="I30" s="43">
        <v>252.58056621061647</v>
      </c>
      <c r="J30" s="19">
        <v>-379809.9743</v>
      </c>
    </row>
    <row r="32" spans="1:10" ht="84" x14ac:dyDescent="0.3">
      <c r="A32" s="13" t="s">
        <v>55</v>
      </c>
      <c r="B32" s="13" t="s">
        <v>41</v>
      </c>
      <c r="C32" s="36" t="s">
        <v>4</v>
      </c>
      <c r="D32" s="13" t="s">
        <v>7</v>
      </c>
      <c r="E32" s="13" t="s">
        <v>8</v>
      </c>
      <c r="F32" s="13" t="s">
        <v>47</v>
      </c>
      <c r="G32" s="13" t="s">
        <v>48</v>
      </c>
      <c r="H32" s="13" t="s">
        <v>49</v>
      </c>
      <c r="I32" s="42" t="s">
        <v>59</v>
      </c>
      <c r="J32" s="13" t="s">
        <v>50</v>
      </c>
    </row>
    <row r="33" spans="1:10" x14ac:dyDescent="0.3">
      <c r="A33" s="35" t="s">
        <v>14</v>
      </c>
      <c r="B33" s="45">
        <v>32</v>
      </c>
      <c r="C33" s="37">
        <v>2142501.0900000003</v>
      </c>
      <c r="D33" s="38">
        <v>0</v>
      </c>
      <c r="E33" s="38">
        <v>-78416.740000000005</v>
      </c>
      <c r="F33" s="19">
        <v>-78416.740000000005</v>
      </c>
      <c r="G33" s="39">
        <v>2064084.3500000003</v>
      </c>
      <c r="H33" s="18">
        <v>176.71955051369866</v>
      </c>
      <c r="I33" s="43">
        <v>206.23171544948636</v>
      </c>
      <c r="J33" s="19">
        <v>-753768.30550000002</v>
      </c>
    </row>
    <row r="34" spans="1:10" x14ac:dyDescent="0.3">
      <c r="A34" s="35" t="s">
        <v>15</v>
      </c>
      <c r="B34" s="45">
        <v>35</v>
      </c>
      <c r="C34" s="37">
        <v>2293295.0700000003</v>
      </c>
      <c r="D34" s="38">
        <v>0</v>
      </c>
      <c r="E34" s="38">
        <v>0</v>
      </c>
      <c r="F34" s="19">
        <v>0</v>
      </c>
      <c r="G34" s="39">
        <v>2293295.0700000003</v>
      </c>
      <c r="H34" s="18">
        <v>179.51429119373779</v>
      </c>
      <c r="I34" s="43">
        <v>209.493177823092</v>
      </c>
      <c r="J34" s="19">
        <v>-852410.35949999979</v>
      </c>
    </row>
    <row r="35" spans="1:10" x14ac:dyDescent="0.3">
      <c r="A35" s="35" t="s">
        <v>16</v>
      </c>
      <c r="B35" s="45">
        <v>33</v>
      </c>
      <c r="C35" s="37">
        <v>2294583.5833000001</v>
      </c>
      <c r="D35" s="38">
        <v>0</v>
      </c>
      <c r="E35" s="38">
        <v>-3242.2</v>
      </c>
      <c r="F35" s="19">
        <v>-3242.2</v>
      </c>
      <c r="G35" s="39">
        <v>2291341.3832999999</v>
      </c>
      <c r="H35" s="18">
        <v>190.23174622665005</v>
      </c>
      <c r="I35" s="43">
        <v>222.00044784650061</v>
      </c>
      <c r="J35" s="19">
        <v>-857529.83480000007</v>
      </c>
    </row>
    <row r="37" spans="1:10" ht="84" x14ac:dyDescent="0.3">
      <c r="A37" s="13" t="s">
        <v>58</v>
      </c>
      <c r="B37" s="13" t="s">
        <v>41</v>
      </c>
      <c r="C37" s="36" t="s">
        <v>4</v>
      </c>
      <c r="D37" s="13" t="s">
        <v>7</v>
      </c>
      <c r="E37" s="13" t="s">
        <v>8</v>
      </c>
      <c r="F37" s="13" t="s">
        <v>47</v>
      </c>
      <c r="G37" s="13" t="s">
        <v>48</v>
      </c>
      <c r="H37" s="13" t="s">
        <v>49</v>
      </c>
      <c r="I37" s="42" t="s">
        <v>59</v>
      </c>
      <c r="J37" s="13" t="s">
        <v>50</v>
      </c>
    </row>
    <row r="38" spans="1:10" x14ac:dyDescent="0.3">
      <c r="A38" s="35" t="s">
        <v>14</v>
      </c>
      <c r="B38" s="45">
        <v>36</v>
      </c>
      <c r="C38" s="37">
        <v>2992278.4099999997</v>
      </c>
      <c r="D38" s="38">
        <v>0</v>
      </c>
      <c r="E38" s="38">
        <v>-113005.46</v>
      </c>
      <c r="F38" s="19">
        <v>-113005.46</v>
      </c>
      <c r="G38" s="39">
        <v>2879272.9499999997</v>
      </c>
      <c r="H38" s="18">
        <v>219.12275114155247</v>
      </c>
      <c r="I38" s="43">
        <v>255.71625058219175</v>
      </c>
      <c r="J38" s="19">
        <v>-1064796.2112</v>
      </c>
    </row>
    <row r="39" spans="1:10" x14ac:dyDescent="0.3">
      <c r="A39" s="35" t="s">
        <v>15</v>
      </c>
      <c r="B39" s="45">
        <v>54</v>
      </c>
      <c r="C39" s="37">
        <v>3519958.3499999996</v>
      </c>
      <c r="D39" s="38">
        <v>-342666.67000000004</v>
      </c>
      <c r="E39" s="38">
        <v>618.32999999999993</v>
      </c>
      <c r="F39" s="19">
        <v>-342048.34</v>
      </c>
      <c r="G39" s="39">
        <v>3177910.01</v>
      </c>
      <c r="H39" s="18">
        <v>161.23338457635717</v>
      </c>
      <c r="I39" s="43">
        <v>188.15935980060883</v>
      </c>
      <c r="J39" s="19">
        <v>-1297395.0323000001</v>
      </c>
    </row>
    <row r="40" spans="1:10" x14ac:dyDescent="0.3">
      <c r="A40" s="35" t="s">
        <v>16</v>
      </c>
      <c r="B40" s="45">
        <v>50</v>
      </c>
      <c r="C40" s="37">
        <v>4227633.07</v>
      </c>
      <c r="D40" s="38">
        <v>85666.67</v>
      </c>
      <c r="E40" s="38">
        <v>-4974.2799999999988</v>
      </c>
      <c r="F40" s="19">
        <v>80692.39</v>
      </c>
      <c r="G40" s="39">
        <v>4308325.46</v>
      </c>
      <c r="H40" s="18">
        <v>236.07262794520548</v>
      </c>
      <c r="I40" s="43">
        <v>275.4967568120548</v>
      </c>
      <c r="J40" s="19">
        <v>-1373267.4147000003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4ccc87-6da4-4f09-b02f-fdbb3e08d0a0">
      <Terms xmlns="http://schemas.microsoft.com/office/infopath/2007/PartnerControls"/>
    </lcf76f155ced4ddcb4097134ff3c332f>
    <TaxCatchAll xmlns="5cd5aabf-ece3-433b-aade-9b8f6bbef6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C4A1E6671C740B0F8DC3A64C45980" ma:contentTypeVersion="14" ma:contentTypeDescription="Create a new document." ma:contentTypeScope="" ma:versionID="d48973d47cc6e351e2fb858aae443334">
  <xsd:schema xmlns:xsd="http://www.w3.org/2001/XMLSchema" xmlns:xs="http://www.w3.org/2001/XMLSchema" xmlns:p="http://schemas.microsoft.com/office/2006/metadata/properties" xmlns:ns2="a54ccc87-6da4-4f09-b02f-fdbb3e08d0a0" xmlns:ns3="5cd5aabf-ece3-433b-aade-9b8f6bbef630" targetNamespace="http://schemas.microsoft.com/office/2006/metadata/properties" ma:root="true" ma:fieldsID="976229a8e9f8b12b520787c23fa6a051" ns2:_="" ns3:_="">
    <xsd:import namespace="a54ccc87-6da4-4f09-b02f-fdbb3e08d0a0"/>
    <xsd:import namespace="5cd5aabf-ece3-433b-aade-9b8f6bbef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cc87-6da4-4f09-b02f-fdbb3e08d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7f7c277-ca9a-4d57-b418-f15995160e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5aabf-ece3-433b-aade-9b8f6bbef63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88d1784-3ba2-4b89-81c3-29525fa27f41}" ma:internalName="TaxCatchAll" ma:showField="CatchAllData" ma:web="5cd5aabf-ece3-433b-aade-9b8f6bbef6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56333-EEE8-4C10-ADB6-F64DFB34C1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87F3C-8AB4-42CF-8C14-77D8781C5789}">
  <ds:schemaRefs>
    <ds:schemaRef ds:uri="122dc8f6-58b7-405b-9361-b3b0b3550020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52ad5431-776d-47d2-8d1d-f4e9526d3f25"/>
    <ds:schemaRef ds:uri="http://schemas.microsoft.com/office/2006/metadata/properties"/>
    <ds:schemaRef ds:uri="a54ccc87-6da4-4f09-b02f-fdbb3e08d0a0"/>
    <ds:schemaRef ds:uri="5cd5aabf-ece3-433b-aade-9b8f6bbef630"/>
  </ds:schemaRefs>
</ds:datastoreItem>
</file>

<file path=customXml/itemProps3.xml><?xml version="1.0" encoding="utf-8"?>
<ds:datastoreItem xmlns:ds="http://schemas.openxmlformats.org/officeDocument/2006/customXml" ds:itemID="{7D6EAE4B-C64E-4653-BF70-026063B2A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cc87-6da4-4f09-b02f-fdbb3e08d0a0"/>
    <ds:schemaRef ds:uri="5cd5aabf-ece3-433b-aade-9b8f6bbef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Q7 Running costs</vt:lpstr>
      <vt:lpstr>Q7&amp;8 occupied unit cost v1 DNU</vt:lpstr>
      <vt:lpstr>Q7 and Q8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2026-05-07T18:41:16Z</dcterms:created>
  <dcterms:modified xsi:type="dcterms:W3CDTF">2026-05-21T15:13:53Z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efa356-9eb4-4552-936b-71c46585f57a_Enabled">
    <vt:lpwstr>true</vt:lpwstr>
  </property>
  <property fmtid="{D5CDD505-2E9C-101B-9397-08002B2CF9AE}" pid="3" name="MSIP_Label_a1efa356-9eb4-4552-936b-71c46585f57a_SetDate">
    <vt:lpwstr>2026-05-07T18:41:53Z</vt:lpwstr>
  </property>
  <property fmtid="{D5CDD505-2E9C-101B-9397-08002B2CF9AE}" pid="4" name="MSIP_Label_a1efa356-9eb4-4552-936b-71c46585f57a_Method">
    <vt:lpwstr>Standard</vt:lpwstr>
  </property>
  <property fmtid="{D5CDD505-2E9C-101B-9397-08002B2CF9AE}" pid="5" name="MSIP_Label_a1efa356-9eb4-4552-936b-71c46585f57a_Name">
    <vt:lpwstr>defa4170-0d19-0005-0004-bc88714345d2</vt:lpwstr>
  </property>
  <property fmtid="{D5CDD505-2E9C-101B-9397-08002B2CF9AE}" pid="6" name="MSIP_Label_a1efa356-9eb4-4552-936b-71c46585f57a_SiteId">
    <vt:lpwstr>ac4b077e-a758-4bc5-9465-35c192007704</vt:lpwstr>
  </property>
  <property fmtid="{D5CDD505-2E9C-101B-9397-08002B2CF9AE}" pid="7" name="MSIP_Label_a1efa356-9eb4-4552-936b-71c46585f57a_ActionId">
    <vt:lpwstr>1798f3eb-debf-417f-b9da-397968321306</vt:lpwstr>
  </property>
  <property fmtid="{D5CDD505-2E9C-101B-9397-08002B2CF9AE}" pid="8" name="MSIP_Label_a1efa356-9eb4-4552-936b-71c46585f57a_ContentBits">
    <vt:lpwstr>0</vt:lpwstr>
  </property>
  <property fmtid="{D5CDD505-2E9C-101B-9397-08002B2CF9AE}" pid="9" name="MSIP_Label_a1efa356-9eb4-4552-936b-71c46585f57a_Tag">
    <vt:lpwstr>10, 3, 0, 1</vt:lpwstr>
  </property>
  <property fmtid="{D5CDD505-2E9C-101B-9397-08002B2CF9AE}" pid="10" name="ContentTypeId">
    <vt:lpwstr>0x010100F00C4A1E6671C740B0F8DC3A64C45980</vt:lpwstr>
  </property>
  <property fmtid="{D5CDD505-2E9C-101B-9397-08002B2CF9AE}" pid="11" name="MediaServiceImageTags">
    <vt:lpwstr/>
  </property>
</Properties>
</file>